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0730" windowHeight="9525"/>
  </bookViews>
  <sheets>
    <sheet name="51" sheetId="1" r:id="rId1"/>
  </sheets>
  <externalReferences>
    <externalReference r:id="rId2"/>
  </externalReferences>
  <definedNames>
    <definedName name="_xlnm.Database">'[1]Table-1'!#REF!</definedName>
    <definedName name="_xlnm.Print_Area" localSheetId="0">'51'!$A$1:$I$125</definedName>
    <definedName name="Print_Area_MI">#REF!</definedName>
    <definedName name="_xlnm.Print_Titles" localSheetId="0">'51'!$A:$B</definedName>
  </definedNames>
  <calcPr calcId="145621"/>
</workbook>
</file>

<file path=xl/calcChain.xml><?xml version="1.0" encoding="utf-8"?>
<calcChain xmlns="http://schemas.openxmlformats.org/spreadsheetml/2006/main">
  <c r="I87" i="1" l="1"/>
  <c r="I10" i="1" l="1"/>
  <c r="I85" i="1" l="1"/>
  <c r="I45" i="1" l="1"/>
  <c r="I62" i="1" l="1"/>
  <c r="H62" i="1"/>
  <c r="I39" i="1"/>
  <c r="I21" i="1" l="1"/>
  <c r="H79" i="1" l="1"/>
  <c r="I78" i="1"/>
  <c r="I76" i="1" s="1"/>
  <c r="I112" i="1" l="1"/>
  <c r="I98" i="1"/>
  <c r="I97" i="1"/>
  <c r="I96" i="1" s="1"/>
  <c r="I91" i="1"/>
  <c r="I105" i="1"/>
  <c r="I70" i="1" l="1"/>
  <c r="I64" i="1"/>
  <c r="I53" i="1"/>
  <c r="I47" i="1"/>
  <c r="I66" i="1"/>
  <c r="I73" i="1"/>
  <c r="I72" i="1" s="1"/>
  <c r="I81" i="1"/>
  <c r="I93" i="1"/>
  <c r="I101" i="1"/>
  <c r="I108" i="1"/>
  <c r="I115" i="1"/>
  <c r="I49" i="1"/>
  <c r="I43" i="1" s="1"/>
  <c r="I36" i="1"/>
  <c r="I32" i="1"/>
  <c r="I28" i="1"/>
  <c r="I20" i="1" s="1"/>
  <c r="I25" i="1"/>
  <c r="I15" i="1"/>
  <c r="I12" i="1"/>
  <c r="I11" i="1"/>
  <c r="I9" i="1"/>
  <c r="I100" i="1" l="1"/>
  <c r="I95" i="1"/>
  <c r="I90" i="1"/>
  <c r="I84" i="1"/>
  <c r="I83" i="1" s="1"/>
  <c r="I80" i="1" s="1"/>
  <c r="I31" i="1"/>
  <c r="I19" i="1" s="1"/>
  <c r="I8" i="1" s="1"/>
  <c r="I89" i="1"/>
  <c r="I60" i="1"/>
  <c r="I42" i="1" s="1"/>
  <c r="I7" i="1" l="1"/>
  <c r="I121" i="1"/>
  <c r="G120" i="1" l="1"/>
  <c r="G119" i="1"/>
  <c r="G118" i="1"/>
  <c r="G117" i="1"/>
  <c r="G116" i="1"/>
  <c r="H115" i="1"/>
  <c r="F115" i="1"/>
  <c r="E115" i="1"/>
  <c r="D115" i="1"/>
  <c r="C115" i="1"/>
  <c r="G114" i="1"/>
  <c r="H112" i="1"/>
  <c r="H108" i="1" s="1"/>
  <c r="G113" i="1"/>
  <c r="F112" i="1"/>
  <c r="E112" i="1"/>
  <c r="E108" i="1" s="1"/>
  <c r="D112" i="1"/>
  <c r="D108" i="1" s="1"/>
  <c r="C112" i="1"/>
  <c r="C108" i="1" s="1"/>
  <c r="G111" i="1"/>
  <c r="G110" i="1"/>
  <c r="G109" i="1"/>
  <c r="G107" i="1"/>
  <c r="G106" i="1"/>
  <c r="H105" i="1"/>
  <c r="H101" i="1" s="1"/>
  <c r="F105" i="1"/>
  <c r="E105" i="1"/>
  <c r="E101" i="1" s="1"/>
  <c r="D105" i="1"/>
  <c r="C105" i="1"/>
  <c r="C101" i="1" s="1"/>
  <c r="G104" i="1"/>
  <c r="G103" i="1"/>
  <c r="G102" i="1"/>
  <c r="F101" i="1"/>
  <c r="D101" i="1"/>
  <c r="G99" i="1"/>
  <c r="H98" i="1"/>
  <c r="F98" i="1"/>
  <c r="E98" i="1"/>
  <c r="D98" i="1"/>
  <c r="C98" i="1"/>
  <c r="G97" i="1"/>
  <c r="H96" i="1"/>
  <c r="H95" i="1" s="1"/>
  <c r="F96" i="1"/>
  <c r="E96" i="1"/>
  <c r="D96" i="1"/>
  <c r="C96" i="1"/>
  <c r="D95" i="1"/>
  <c r="C95" i="1"/>
  <c r="G94" i="1"/>
  <c r="H93" i="1"/>
  <c r="F93" i="1"/>
  <c r="E93" i="1"/>
  <c r="D93" i="1"/>
  <c r="C93" i="1"/>
  <c r="H91" i="1"/>
  <c r="H90" i="1" s="1"/>
  <c r="G92" i="1"/>
  <c r="F91" i="1"/>
  <c r="F90" i="1" s="1"/>
  <c r="E91" i="1"/>
  <c r="D91" i="1"/>
  <c r="C91" i="1"/>
  <c r="G88" i="1"/>
  <c r="H87" i="1"/>
  <c r="F87" i="1"/>
  <c r="G87" i="1" s="1"/>
  <c r="E87" i="1"/>
  <c r="E84" i="1" s="1"/>
  <c r="D87" i="1"/>
  <c r="C87" i="1"/>
  <c r="G86" i="1"/>
  <c r="H85" i="1"/>
  <c r="F85" i="1"/>
  <c r="E85" i="1"/>
  <c r="D85" i="1"/>
  <c r="D84" i="1" s="1"/>
  <c r="C85" i="1"/>
  <c r="C84" i="1" s="1"/>
  <c r="G82" i="1"/>
  <c r="H81" i="1"/>
  <c r="F81" i="1"/>
  <c r="E81" i="1"/>
  <c r="D81" i="1"/>
  <c r="C81" i="1"/>
  <c r="G79" i="1"/>
  <c r="H78" i="1"/>
  <c r="H76" i="1" s="1"/>
  <c r="F78" i="1"/>
  <c r="E78" i="1"/>
  <c r="D78" i="1"/>
  <c r="D76" i="1" s="1"/>
  <c r="C78" i="1"/>
  <c r="C76" i="1" s="1"/>
  <c r="G77" i="1"/>
  <c r="E76" i="1"/>
  <c r="G75" i="1"/>
  <c r="G74" i="1"/>
  <c r="H73" i="1"/>
  <c r="H72" i="1" s="1"/>
  <c r="F73" i="1"/>
  <c r="E73" i="1"/>
  <c r="D73" i="1"/>
  <c r="C73" i="1"/>
  <c r="C72" i="1" s="1"/>
  <c r="H70" i="1"/>
  <c r="H66" i="1" s="1"/>
  <c r="G71" i="1"/>
  <c r="F70" i="1"/>
  <c r="E70" i="1"/>
  <c r="E66" i="1" s="1"/>
  <c r="D70" i="1"/>
  <c r="C70" i="1"/>
  <c r="C66" i="1" s="1"/>
  <c r="G69" i="1"/>
  <c r="G68" i="1"/>
  <c r="G67" i="1"/>
  <c r="F66" i="1"/>
  <c r="H64" i="1"/>
  <c r="G65" i="1"/>
  <c r="F64" i="1"/>
  <c r="E64" i="1"/>
  <c r="D64" i="1"/>
  <c r="C64" i="1"/>
  <c r="G63" i="1"/>
  <c r="F62" i="1"/>
  <c r="F60" i="1" s="1"/>
  <c r="E62" i="1"/>
  <c r="D62" i="1"/>
  <c r="C62" i="1"/>
  <c r="G61" i="1"/>
  <c r="G54" i="1"/>
  <c r="H53" i="1"/>
  <c r="H49" i="1" s="1"/>
  <c r="F53" i="1"/>
  <c r="F49" i="1" s="1"/>
  <c r="E53" i="1"/>
  <c r="E49" i="1" s="1"/>
  <c r="D53" i="1"/>
  <c r="C53" i="1"/>
  <c r="C49" i="1" s="1"/>
  <c r="G52" i="1"/>
  <c r="G51" i="1"/>
  <c r="G50" i="1"/>
  <c r="H47" i="1"/>
  <c r="G48" i="1"/>
  <c r="F47" i="1"/>
  <c r="E47" i="1"/>
  <c r="D47" i="1"/>
  <c r="C47" i="1"/>
  <c r="H45" i="1"/>
  <c r="G46" i="1"/>
  <c r="F45" i="1"/>
  <c r="E45" i="1"/>
  <c r="D45" i="1"/>
  <c r="C45" i="1"/>
  <c r="G44" i="1"/>
  <c r="G41" i="1"/>
  <c r="G40" i="1"/>
  <c r="H39" i="1"/>
  <c r="F39" i="1"/>
  <c r="E39" i="1"/>
  <c r="D39" i="1"/>
  <c r="C39" i="1"/>
  <c r="G38" i="1"/>
  <c r="G37" i="1"/>
  <c r="H36" i="1"/>
  <c r="F36" i="1"/>
  <c r="E36" i="1"/>
  <c r="D36" i="1"/>
  <c r="C36" i="1"/>
  <c r="G35" i="1"/>
  <c r="G34" i="1"/>
  <c r="G33" i="1"/>
  <c r="H32" i="1"/>
  <c r="F32" i="1"/>
  <c r="F31" i="1" s="1"/>
  <c r="E32" i="1"/>
  <c r="D32" i="1"/>
  <c r="D31" i="1" s="1"/>
  <c r="C32" i="1"/>
  <c r="G30" i="1"/>
  <c r="G29" i="1"/>
  <c r="H28" i="1"/>
  <c r="F28" i="1"/>
  <c r="E28" i="1"/>
  <c r="D28" i="1"/>
  <c r="C28" i="1"/>
  <c r="G27" i="1"/>
  <c r="G26" i="1"/>
  <c r="H25" i="1"/>
  <c r="F25" i="1"/>
  <c r="E25" i="1"/>
  <c r="D25" i="1"/>
  <c r="C25" i="1"/>
  <c r="D24" i="1"/>
  <c r="G24" i="1" s="1"/>
  <c r="G23" i="1"/>
  <c r="G22" i="1"/>
  <c r="H21" i="1"/>
  <c r="F21" i="1"/>
  <c r="E21" i="1"/>
  <c r="C21" i="1"/>
  <c r="G18" i="1"/>
  <c r="G17" i="1"/>
  <c r="G16" i="1"/>
  <c r="H15" i="1"/>
  <c r="F15" i="1"/>
  <c r="E15" i="1"/>
  <c r="D15" i="1"/>
  <c r="C15" i="1"/>
  <c r="G15" i="1" s="1"/>
  <c r="G14" i="1"/>
  <c r="G13" i="1"/>
  <c r="H12" i="1"/>
  <c r="F12" i="1"/>
  <c r="E12" i="1"/>
  <c r="D12" i="1"/>
  <c r="C12" i="1"/>
  <c r="G12" i="1" s="1"/>
  <c r="H11" i="1"/>
  <c r="F11" i="1"/>
  <c r="E11" i="1"/>
  <c r="D11" i="1"/>
  <c r="C11" i="1"/>
  <c r="H10" i="1"/>
  <c r="F10" i="1"/>
  <c r="E10" i="1"/>
  <c r="D10" i="1"/>
  <c r="C10" i="1"/>
  <c r="H89" i="1" l="1"/>
  <c r="G93" i="1"/>
  <c r="H9" i="1"/>
  <c r="E20" i="1"/>
  <c r="E72" i="1"/>
  <c r="F84" i="1"/>
  <c r="G84" i="1" s="1"/>
  <c r="G11" i="1"/>
  <c r="H20" i="1"/>
  <c r="H19" i="1" s="1"/>
  <c r="G78" i="1"/>
  <c r="F76" i="1"/>
  <c r="G76" i="1" s="1"/>
  <c r="G10" i="1"/>
  <c r="E60" i="1"/>
  <c r="E90" i="1"/>
  <c r="F95" i="1"/>
  <c r="H84" i="1"/>
  <c r="D100" i="1"/>
  <c r="H31" i="1"/>
  <c r="G70" i="1"/>
  <c r="G81" i="1"/>
  <c r="F20" i="1"/>
  <c r="F19" i="1" s="1"/>
  <c r="D9" i="1"/>
  <c r="G47" i="1"/>
  <c r="F72" i="1"/>
  <c r="G115" i="1"/>
  <c r="E9" i="1"/>
  <c r="G39" i="1"/>
  <c r="G91" i="1"/>
  <c r="G96" i="1"/>
  <c r="G98" i="1"/>
  <c r="F9" i="1"/>
  <c r="G28" i="1"/>
  <c r="G32" i="1"/>
  <c r="G36" i="1"/>
  <c r="G45" i="1"/>
  <c r="G64" i="1"/>
  <c r="D90" i="1"/>
  <c r="D89" i="1" s="1"/>
  <c r="E95" i="1"/>
  <c r="G112" i="1"/>
  <c r="G53" i="1"/>
  <c r="G25" i="1"/>
  <c r="G21" i="1"/>
  <c r="D20" i="1"/>
  <c r="D19" i="1" s="1"/>
  <c r="E31" i="1"/>
  <c r="F43" i="1"/>
  <c r="F42" i="1" s="1"/>
  <c r="E43" i="1"/>
  <c r="E42" i="1" s="1"/>
  <c r="G62" i="1"/>
  <c r="G85" i="1"/>
  <c r="H100" i="1"/>
  <c r="H83" i="1" s="1"/>
  <c r="H80" i="1" s="1"/>
  <c r="D72" i="1"/>
  <c r="C43" i="1"/>
  <c r="G101" i="1"/>
  <c r="C100" i="1"/>
  <c r="F89" i="1"/>
  <c r="E100" i="1"/>
  <c r="G72" i="1"/>
  <c r="H43" i="1"/>
  <c r="C60" i="1"/>
  <c r="H60" i="1"/>
  <c r="D49" i="1"/>
  <c r="D43" i="1" s="1"/>
  <c r="D66" i="1"/>
  <c r="D60" i="1" s="1"/>
  <c r="G105" i="1"/>
  <c r="F108" i="1"/>
  <c r="G108" i="1" s="1"/>
  <c r="G73" i="1"/>
  <c r="C9" i="1"/>
  <c r="C31" i="1"/>
  <c r="G31" i="1" s="1"/>
  <c r="C20" i="1"/>
  <c r="C90" i="1"/>
  <c r="G95" i="1" l="1"/>
  <c r="E19" i="1"/>
  <c r="E8" i="1" s="1"/>
  <c r="E7" i="1" s="1"/>
  <c r="D83" i="1"/>
  <c r="D80" i="1" s="1"/>
  <c r="D8" i="1"/>
  <c r="H8" i="1"/>
  <c r="H42" i="1"/>
  <c r="H7" i="1" s="1"/>
  <c r="H121" i="1" s="1"/>
  <c r="F100" i="1"/>
  <c r="F83" i="1" s="1"/>
  <c r="F80" i="1" s="1"/>
  <c r="F121" i="1" s="1"/>
  <c r="E89" i="1"/>
  <c r="E83" i="1" s="1"/>
  <c r="E80" i="1" s="1"/>
  <c r="E121" i="1" s="1"/>
  <c r="F8" i="1"/>
  <c r="F7" i="1" s="1"/>
  <c r="D42" i="1"/>
  <c r="C19" i="1"/>
  <c r="G19" i="1" s="1"/>
  <c r="G20" i="1"/>
  <c r="G66" i="1"/>
  <c r="C89" i="1"/>
  <c r="G90" i="1"/>
  <c r="G60" i="1"/>
  <c r="G43" i="1"/>
  <c r="C42" i="1"/>
  <c r="G42" i="1" s="1"/>
  <c r="G49" i="1"/>
  <c r="G9" i="1"/>
  <c r="C8" i="1"/>
  <c r="G100" i="1"/>
  <c r="D7" i="1" l="1"/>
  <c r="D121" i="1" s="1"/>
  <c r="G89" i="1"/>
  <c r="C83" i="1"/>
  <c r="C7" i="1"/>
  <c r="G8" i="1"/>
  <c r="G7" i="1" l="1"/>
  <c r="G83" i="1"/>
  <c r="C80" i="1"/>
  <c r="G80" i="1" s="1"/>
  <c r="C121" i="1" l="1"/>
  <c r="G121" i="1" s="1"/>
</calcChain>
</file>

<file path=xl/sharedStrings.xml><?xml version="1.0" encoding="utf-8"?>
<sst xmlns="http://schemas.openxmlformats.org/spreadsheetml/2006/main" count="144" uniqueCount="89">
  <si>
    <t>(Rs million)</t>
  </si>
  <si>
    <r>
      <t xml:space="preserve">2012 </t>
    </r>
    <r>
      <rPr>
        <b/>
        <vertAlign val="superscript"/>
        <sz val="18"/>
        <rFont val="Times New Roman"/>
        <family val="1"/>
      </rPr>
      <t>1</t>
    </r>
  </si>
  <si>
    <t xml:space="preserve">1st
Quarter </t>
  </si>
  <si>
    <r>
      <t>2nd
Quarter</t>
    </r>
    <r>
      <rPr>
        <b/>
        <vertAlign val="superscript"/>
        <sz val="18"/>
        <rFont val="Times New Roman"/>
        <family val="1"/>
      </rPr>
      <t xml:space="preserve"> </t>
    </r>
    <r>
      <rPr>
        <sz val="10"/>
        <rFont val="Arial"/>
        <family val="2"/>
      </rPr>
      <t/>
    </r>
  </si>
  <si>
    <r>
      <t>3rd
Quarter</t>
    </r>
    <r>
      <rPr>
        <b/>
        <vertAlign val="superscript"/>
        <sz val="18"/>
        <rFont val="Times New Roman"/>
        <family val="1"/>
      </rPr>
      <t xml:space="preserve"> </t>
    </r>
    <r>
      <rPr>
        <sz val="10"/>
        <rFont val="Arial"/>
        <family val="2"/>
      </rPr>
      <t/>
    </r>
  </si>
  <si>
    <r>
      <t>4th
Quarter</t>
    </r>
    <r>
      <rPr>
        <b/>
        <vertAlign val="superscript"/>
        <sz val="18"/>
        <rFont val="Times New Roman"/>
        <family val="1"/>
      </rPr>
      <t xml:space="preserve"> </t>
    </r>
    <r>
      <rPr>
        <sz val="10"/>
        <rFont val="Arial"/>
        <family val="2"/>
      </rPr>
      <t/>
    </r>
  </si>
  <si>
    <t>I.</t>
  </si>
  <si>
    <t>CURRENT ACCOUNT</t>
  </si>
  <si>
    <t>A.</t>
  </si>
  <si>
    <t>Goods and Services</t>
  </si>
  <si>
    <t xml:space="preserve"> Goods</t>
  </si>
  <si>
    <t xml:space="preserve">    Exports</t>
  </si>
  <si>
    <t xml:space="preserve">    Imports</t>
  </si>
  <si>
    <t xml:space="preserve"> </t>
  </si>
  <si>
    <t xml:space="preserve">      General Merchandise</t>
  </si>
  <si>
    <t xml:space="preserve">        Credit</t>
  </si>
  <si>
    <t xml:space="preserve">        Debit</t>
  </si>
  <si>
    <t xml:space="preserve">      Goods procured in Ports by Carriers</t>
  </si>
  <si>
    <t xml:space="preserve">       Non-monetary Gold</t>
  </si>
  <si>
    <t xml:space="preserve">  Services</t>
  </si>
  <si>
    <t xml:space="preserve">    Credit</t>
  </si>
  <si>
    <t xml:space="preserve">      Transportation</t>
  </si>
  <si>
    <t xml:space="preserve">        Passenger</t>
  </si>
  <si>
    <t xml:space="preserve">        Freight</t>
  </si>
  <si>
    <t xml:space="preserve">        Other</t>
  </si>
  <si>
    <t xml:space="preserve">      Travel</t>
  </si>
  <si>
    <t xml:space="preserve">        Business</t>
  </si>
  <si>
    <t xml:space="preserve">        Personal</t>
  </si>
  <si>
    <t xml:space="preserve">      Other Services</t>
  </si>
  <si>
    <t xml:space="preserve">        Private</t>
  </si>
  <si>
    <t xml:space="preserve">        Government</t>
  </si>
  <si>
    <t xml:space="preserve">    Debit</t>
  </si>
  <si>
    <t>B.</t>
  </si>
  <si>
    <t xml:space="preserve">  Income</t>
  </si>
  <si>
    <t xml:space="preserve">    Credit </t>
  </si>
  <si>
    <t xml:space="preserve">      Compensation of Employees</t>
  </si>
  <si>
    <t xml:space="preserve">      Direct Investment Income</t>
  </si>
  <si>
    <t xml:space="preserve">      o/w global business</t>
  </si>
  <si>
    <t xml:space="preserve">      Portfolio Investment Income</t>
  </si>
  <si>
    <t xml:space="preserve">      Other Investment Income</t>
  </si>
  <si>
    <t xml:space="preserve">         General Government</t>
  </si>
  <si>
    <t xml:space="preserve">         Monetary Authorities</t>
  </si>
  <si>
    <t xml:space="preserve">         Banks</t>
  </si>
  <si>
    <t xml:space="preserve">         Other Sectors</t>
  </si>
  <si>
    <t>Continued on next page</t>
  </si>
  <si>
    <t xml:space="preserve">1st 
Quarter </t>
  </si>
  <si>
    <t xml:space="preserve">2nd 
Quarter </t>
  </si>
  <si>
    <t xml:space="preserve">      Compensation to employees</t>
  </si>
  <si>
    <t>C.</t>
  </si>
  <si>
    <t xml:space="preserve">  Current Transfers</t>
  </si>
  <si>
    <t xml:space="preserve">      Private</t>
  </si>
  <si>
    <t xml:space="preserve">      Government</t>
  </si>
  <si>
    <t>II.</t>
  </si>
  <si>
    <t>CAPITAL AND FINANCIAL ACCOUNT</t>
  </si>
  <si>
    <t>D.</t>
  </si>
  <si>
    <t xml:space="preserve">  Capital Account </t>
  </si>
  <si>
    <t xml:space="preserve">      Migrants' Transfers</t>
  </si>
  <si>
    <t>E.</t>
  </si>
  <si>
    <r>
      <t xml:space="preserve">  Financial Account </t>
    </r>
    <r>
      <rPr>
        <i/>
        <sz val="9"/>
        <rFont val="Arial"/>
        <family val="2"/>
      </rPr>
      <t/>
    </r>
  </si>
  <si>
    <t xml:space="preserve">    Direct Investment</t>
  </si>
  <si>
    <t xml:space="preserve">      Abroad</t>
  </si>
  <si>
    <t xml:space="preserve">      In Mauritius</t>
  </si>
  <si>
    <t xml:space="preserve">    Portfolio Investment </t>
  </si>
  <si>
    <t xml:space="preserve">      Assets</t>
  </si>
  <si>
    <t xml:space="preserve">       Equity Securities</t>
  </si>
  <si>
    <t xml:space="preserve">       Debt Securities</t>
  </si>
  <si>
    <t xml:space="preserve">     Liabilities</t>
  </si>
  <si>
    <t xml:space="preserve">   Other Investment </t>
  </si>
  <si>
    <t xml:space="preserve">     Assets</t>
  </si>
  <si>
    <t xml:space="preserve">       General Government</t>
  </si>
  <si>
    <t xml:space="preserve">       Monetary Authorities</t>
  </si>
  <si>
    <t xml:space="preserve">       Banks</t>
  </si>
  <si>
    <t xml:space="preserve">       Other Sectors: Long-term</t>
  </si>
  <si>
    <t xml:space="preserve">       Other Sectors: Short-term</t>
  </si>
  <si>
    <t xml:space="preserve">   Reserve Assets</t>
  </si>
  <si>
    <t xml:space="preserve">      Monetary Gold</t>
  </si>
  <si>
    <t xml:space="preserve">      Special Drawing Rights</t>
  </si>
  <si>
    <t xml:space="preserve">      Reserve Position in the Fund</t>
  </si>
  <si>
    <t xml:space="preserve">      Foreign Exchange</t>
  </si>
  <si>
    <t xml:space="preserve">      Other Claims</t>
  </si>
  <si>
    <t>III.</t>
  </si>
  <si>
    <t>NET ERRORS AND OMISSIONS</t>
  </si>
  <si>
    <t>Figures may not add up to totals due to rounding.</t>
  </si>
  <si>
    <t>Source : Statistics Division.</t>
  </si>
  <si>
    <r>
      <t>2013</t>
    </r>
    <r>
      <rPr>
        <b/>
        <vertAlign val="superscript"/>
        <sz val="18"/>
        <rFont val="Times New Roman"/>
        <family val="1"/>
      </rPr>
      <t xml:space="preserve"> 1</t>
    </r>
  </si>
  <si>
    <r>
      <t xml:space="preserve">1 </t>
    </r>
    <r>
      <rPr>
        <i/>
        <sz val="16"/>
        <rFont val="Times New Roman"/>
        <family val="1"/>
      </rPr>
      <t>Provisional</t>
    </r>
  </si>
  <si>
    <r>
      <t xml:space="preserve">2013 </t>
    </r>
    <r>
      <rPr>
        <b/>
        <vertAlign val="superscript"/>
        <sz val="18"/>
        <rFont val="Times New Roman"/>
        <family val="1"/>
      </rPr>
      <t>1</t>
    </r>
  </si>
  <si>
    <t xml:space="preserve">2nd Quarter </t>
  </si>
  <si>
    <t>Table 51: Balance of Payments - Calendar Year 2012 and Second Quarter 2013
(including estimates for GBC1s cross-border transactions)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</si>
</sst>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,##0.0"/>
    <numFmt numFmtId="166" formatCode="#,##0.0000"/>
  </numFmts>
  <fonts count="21" x14ac:knownFonts="1">
    <font>
      <sz val="10"/>
      <name val="Arial"/>
      <family val="2"/>
    </font>
    <font>
      <sz val="10"/>
      <name val="Arial"/>
      <family val="2"/>
    </font>
    <font>
      <b/>
      <sz val="24"/>
      <name val="Times New Roman"/>
      <family val="1"/>
    </font>
    <font>
      <sz val="24"/>
      <name val="Arial"/>
      <family val="2"/>
    </font>
    <font>
      <sz val="10"/>
      <name val="Times New Roman"/>
      <family val="1"/>
    </font>
    <font>
      <b/>
      <i/>
      <sz val="14"/>
      <name val="Times New Roman"/>
      <family val="1"/>
    </font>
    <font>
      <i/>
      <sz val="15"/>
      <name val="Times New Roman"/>
      <family val="1"/>
    </font>
    <font>
      <i/>
      <sz val="18"/>
      <name val="Times New Roman"/>
      <family val="1"/>
    </font>
    <font>
      <b/>
      <sz val="14"/>
      <name val="Times New Roman"/>
      <family val="1"/>
    </font>
    <font>
      <sz val="15"/>
      <name val="Times New Roman"/>
      <family val="1"/>
    </font>
    <font>
      <b/>
      <sz val="18"/>
      <name val="Times New Roman"/>
      <family val="1"/>
    </font>
    <font>
      <b/>
      <vertAlign val="superscript"/>
      <sz val="18"/>
      <name val="Times New Roman"/>
      <family val="1"/>
    </font>
    <font>
      <sz val="16"/>
      <name val="Times New Roman"/>
      <family val="1"/>
    </font>
    <font>
      <b/>
      <sz val="15"/>
      <name val="Times New Roman"/>
      <family val="1"/>
    </font>
    <font>
      <sz val="18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  <font>
      <b/>
      <i/>
      <sz val="16"/>
      <name val="Times New Roman"/>
      <family val="1"/>
    </font>
    <font>
      <i/>
      <sz val="9"/>
      <name val="Arial"/>
      <family val="2"/>
    </font>
    <font>
      <i/>
      <vertAlign val="superscript"/>
      <sz val="16"/>
      <name val="Times New Roman"/>
      <family val="1"/>
    </font>
    <font>
      <i/>
      <sz val="16"/>
      <name val="Times New Roman"/>
      <family val="1"/>
    </font>
  </fonts>
  <fills count="3">
    <fill>
      <patternFill patternType="none"/>
    </fill>
    <fill>
      <patternFill patternType="gray125"/>
    </fill>
    <fill>
      <patternFill patternType="lightGray">
        <fgColor indexed="22"/>
        <bgColor indexed="22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60">
    <xf numFmtId="0" fontId="0" fillId="0" borderId="0" xfId="0"/>
    <xf numFmtId="0" fontId="4" fillId="0" borderId="0" xfId="0" applyFont="1"/>
    <xf numFmtId="165" fontId="4" fillId="0" borderId="0" xfId="0" applyNumberFormat="1" applyFont="1"/>
    <xf numFmtId="0" fontId="5" fillId="0" borderId="0" xfId="2" applyFont="1" applyAlignment="1">
      <alignment horizontal="right"/>
    </xf>
    <xf numFmtId="0" fontId="6" fillId="0" borderId="0" xfId="2" applyFont="1" applyAlignment="1">
      <alignment horizontal="right"/>
    </xf>
    <xf numFmtId="165" fontId="7" fillId="0" borderId="0" xfId="0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right"/>
    </xf>
    <xf numFmtId="0" fontId="10" fillId="0" borderId="0" xfId="2" applyFont="1" applyFill="1" applyBorder="1" applyAlignment="1">
      <alignment horizontal="center" vertical="center" wrapText="1"/>
    </xf>
    <xf numFmtId="0" fontId="12" fillId="0" borderId="0" xfId="0" applyFont="1"/>
    <xf numFmtId="0" fontId="10" fillId="2" borderId="9" xfId="2" applyFont="1" applyFill="1" applyBorder="1" applyAlignment="1">
      <alignment horizontal="center" vertical="center" wrapText="1"/>
    </xf>
    <xf numFmtId="0" fontId="10" fillId="2" borderId="10" xfId="2" applyFont="1" applyFill="1" applyBorder="1" applyAlignment="1">
      <alignment horizontal="center" vertical="center" wrapText="1"/>
    </xf>
    <xf numFmtId="0" fontId="10" fillId="2" borderId="11" xfId="2" applyFont="1" applyFill="1" applyBorder="1" applyAlignment="1">
      <alignment horizontal="center" vertical="center" wrapText="1"/>
    </xf>
    <xf numFmtId="0" fontId="8" fillId="2" borderId="13" xfId="2" applyFont="1" applyFill="1" applyBorder="1"/>
    <xf numFmtId="0" fontId="9" fillId="2" borderId="14" xfId="2" applyFont="1" applyFill="1" applyBorder="1" applyAlignment="1">
      <alignment horizontal="center" vertical="top" wrapText="1"/>
    </xf>
    <xf numFmtId="3" fontId="10" fillId="0" borderId="15" xfId="2" applyNumberFormat="1" applyFont="1" applyFill="1" applyBorder="1" applyAlignment="1"/>
    <xf numFmtId="3" fontId="10" fillId="0" borderId="16" xfId="2" applyNumberFormat="1" applyFont="1" applyFill="1" applyBorder="1" applyAlignment="1"/>
    <xf numFmtId="3" fontId="10" fillId="0" borderId="17" xfId="2" applyNumberFormat="1" applyFont="1" applyFill="1" applyBorder="1" applyAlignment="1"/>
    <xf numFmtId="3" fontId="10" fillId="0" borderId="18" xfId="2" applyNumberFormat="1" applyFont="1" applyFill="1" applyBorder="1" applyAlignment="1"/>
    <xf numFmtId="0" fontId="9" fillId="0" borderId="0" xfId="0" applyFont="1" applyBorder="1"/>
    <xf numFmtId="0" fontId="9" fillId="0" borderId="0" xfId="0" applyFont="1"/>
    <xf numFmtId="0" fontId="13" fillId="2" borderId="14" xfId="2" applyFont="1" applyFill="1" applyBorder="1"/>
    <xf numFmtId="3" fontId="10" fillId="0" borderId="19" xfId="0" applyNumberFormat="1" applyFont="1" applyBorder="1"/>
    <xf numFmtId="3" fontId="10" fillId="0" borderId="20" xfId="0" applyNumberFormat="1" applyFont="1" applyBorder="1"/>
    <xf numFmtId="3" fontId="10" fillId="0" borderId="14" xfId="0" applyNumberFormat="1" applyFont="1" applyBorder="1"/>
    <xf numFmtId="3" fontId="10" fillId="0" borderId="21" xfId="0" applyNumberFormat="1" applyFont="1" applyBorder="1"/>
    <xf numFmtId="3" fontId="10" fillId="0" borderId="0" xfId="0" applyNumberFormat="1" applyFont="1" applyBorder="1"/>
    <xf numFmtId="0" fontId="13" fillId="0" borderId="0" xfId="0" applyFont="1"/>
    <xf numFmtId="0" fontId="9" fillId="2" borderId="14" xfId="2" applyFont="1" applyFill="1" applyBorder="1"/>
    <xf numFmtId="3" fontId="14" fillId="0" borderId="19" xfId="0" applyNumberFormat="1" applyFont="1" applyFill="1" applyBorder="1"/>
    <xf numFmtId="3" fontId="14" fillId="0" borderId="20" xfId="0" applyNumberFormat="1" applyFont="1" applyFill="1" applyBorder="1"/>
    <xf numFmtId="3" fontId="14" fillId="0" borderId="14" xfId="0" applyNumberFormat="1" applyFont="1" applyFill="1" applyBorder="1"/>
    <xf numFmtId="3" fontId="14" fillId="0" borderId="21" xfId="0" applyNumberFormat="1" applyFont="1" applyFill="1" applyBorder="1"/>
    <xf numFmtId="3" fontId="14" fillId="0" borderId="0" xfId="0" applyNumberFormat="1" applyFont="1" applyFill="1" applyBorder="1"/>
    <xf numFmtId="3" fontId="14" fillId="0" borderId="19" xfId="2" applyNumberFormat="1" applyFont="1" applyFill="1" applyBorder="1" applyAlignment="1"/>
    <xf numFmtId="3" fontId="14" fillId="0" borderId="20" xfId="2" applyNumberFormat="1" applyFont="1" applyFill="1" applyBorder="1" applyAlignment="1"/>
    <xf numFmtId="3" fontId="14" fillId="0" borderId="14" xfId="2" applyNumberFormat="1" applyFont="1" applyFill="1" applyBorder="1" applyAlignment="1"/>
    <xf numFmtId="3" fontId="14" fillId="0" borderId="21" xfId="2" applyNumberFormat="1" applyFont="1" applyFill="1" applyBorder="1" applyAlignment="1"/>
    <xf numFmtId="3" fontId="14" fillId="0" borderId="0" xfId="2" applyNumberFormat="1" applyFont="1" applyFill="1" applyBorder="1" applyAlignment="1"/>
    <xf numFmtId="0" fontId="15" fillId="2" borderId="13" xfId="2" applyFont="1" applyFill="1" applyBorder="1"/>
    <xf numFmtId="3" fontId="10" fillId="0" borderId="19" xfId="0" applyNumberFormat="1" applyFont="1" applyFill="1" applyBorder="1"/>
    <xf numFmtId="3" fontId="10" fillId="0" borderId="20" xfId="0" applyNumberFormat="1" applyFont="1" applyFill="1" applyBorder="1"/>
    <xf numFmtId="3" fontId="10" fillId="0" borderId="14" xfId="0" applyNumberFormat="1" applyFont="1" applyFill="1" applyBorder="1"/>
    <xf numFmtId="3" fontId="10" fillId="0" borderId="21" xfId="0" applyNumberFormat="1" applyFont="1" applyFill="1" applyBorder="1"/>
    <xf numFmtId="0" fontId="16" fillId="2" borderId="13" xfId="2" applyFont="1" applyFill="1" applyBorder="1"/>
    <xf numFmtId="0" fontId="6" fillId="2" borderId="14" xfId="2" applyFont="1" applyFill="1" applyBorder="1"/>
    <xf numFmtId="3" fontId="7" fillId="0" borderId="19" xfId="2" applyNumberFormat="1" applyFont="1" applyFill="1" applyBorder="1" applyAlignment="1"/>
    <xf numFmtId="3" fontId="7" fillId="0" borderId="20" xfId="2" applyNumberFormat="1" applyFont="1" applyFill="1" applyBorder="1" applyAlignment="1"/>
    <xf numFmtId="3" fontId="7" fillId="0" borderId="14" xfId="2" applyNumberFormat="1" applyFont="1" applyFill="1" applyBorder="1" applyAlignment="1"/>
    <xf numFmtId="3" fontId="7" fillId="0" borderId="21" xfId="2" applyNumberFormat="1" applyFont="1" applyFill="1" applyBorder="1" applyAlignment="1"/>
    <xf numFmtId="3" fontId="7" fillId="0" borderId="0" xfId="2" applyNumberFormat="1" applyFont="1" applyFill="1" applyBorder="1" applyAlignment="1"/>
    <xf numFmtId="0" fontId="6" fillId="0" borderId="0" xfId="0" applyFont="1"/>
    <xf numFmtId="3" fontId="7" fillId="0" borderId="13" xfId="0" applyNumberFormat="1" applyFont="1" applyFill="1" applyBorder="1"/>
    <xf numFmtId="3" fontId="7" fillId="0" borderId="20" xfId="0" applyNumberFormat="1" applyFont="1" applyFill="1" applyBorder="1"/>
    <xf numFmtId="3" fontId="7" fillId="0" borderId="14" xfId="0" applyNumberFormat="1" applyFont="1" applyFill="1" applyBorder="1"/>
    <xf numFmtId="3" fontId="7" fillId="0" borderId="21" xfId="0" applyNumberFormat="1" applyFont="1" applyFill="1" applyBorder="1"/>
    <xf numFmtId="3" fontId="7" fillId="0" borderId="0" xfId="0" applyNumberFormat="1" applyFont="1" applyFill="1" applyBorder="1"/>
    <xf numFmtId="0" fontId="5" fillId="2" borderId="13" xfId="2" applyFont="1" applyFill="1" applyBorder="1"/>
    <xf numFmtId="3" fontId="7" fillId="0" borderId="19" xfId="0" applyNumberFormat="1" applyFont="1" applyFill="1" applyBorder="1"/>
    <xf numFmtId="3" fontId="14" fillId="0" borderId="19" xfId="1" applyNumberFormat="1" applyFont="1" applyFill="1" applyBorder="1"/>
    <xf numFmtId="3" fontId="14" fillId="0" borderId="20" xfId="1" applyNumberFormat="1" applyFont="1" applyFill="1" applyBorder="1"/>
    <xf numFmtId="3" fontId="14" fillId="0" borderId="14" xfId="1" applyNumberFormat="1" applyFont="1" applyFill="1" applyBorder="1"/>
    <xf numFmtId="3" fontId="14" fillId="0" borderId="21" xfId="1" applyNumberFormat="1" applyFont="1" applyFill="1" applyBorder="1"/>
    <xf numFmtId="3" fontId="14" fillId="0" borderId="0" xfId="1" applyNumberFormat="1" applyFont="1" applyFill="1" applyBorder="1"/>
    <xf numFmtId="3" fontId="10" fillId="0" borderId="19" xfId="2" applyNumberFormat="1" applyFont="1" applyFill="1" applyBorder="1" applyAlignment="1"/>
    <xf numFmtId="3" fontId="10" fillId="0" borderId="20" xfId="2" applyNumberFormat="1" applyFont="1" applyFill="1" applyBorder="1" applyAlignment="1"/>
    <xf numFmtId="3" fontId="10" fillId="0" borderId="14" xfId="2" applyNumberFormat="1" applyFont="1" applyFill="1" applyBorder="1" applyAlignment="1"/>
    <xf numFmtId="3" fontId="10" fillId="0" borderId="21" xfId="2" applyNumberFormat="1" applyFont="1" applyFill="1" applyBorder="1" applyAlignment="1"/>
    <xf numFmtId="3" fontId="10" fillId="0" borderId="0" xfId="2" applyNumberFormat="1" applyFont="1" applyFill="1" applyBorder="1" applyAlignment="1"/>
    <xf numFmtId="0" fontId="5" fillId="2" borderId="22" xfId="2" applyFont="1" applyFill="1" applyBorder="1"/>
    <xf numFmtId="0" fontId="6" fillId="2" borderId="23" xfId="2" applyFont="1" applyFill="1" applyBorder="1"/>
    <xf numFmtId="3" fontId="7" fillId="0" borderId="24" xfId="0" applyNumberFormat="1" applyFont="1" applyFill="1" applyBorder="1"/>
    <xf numFmtId="3" fontId="7" fillId="0" borderId="25" xfId="0" applyNumberFormat="1" applyFont="1" applyFill="1" applyBorder="1"/>
    <xf numFmtId="3" fontId="7" fillId="0" borderId="23" xfId="0" applyNumberFormat="1" applyFont="1" applyFill="1" applyBorder="1"/>
    <xf numFmtId="3" fontId="7" fillId="0" borderId="26" xfId="0" applyNumberFormat="1" applyFont="1" applyFill="1" applyBorder="1"/>
    <xf numFmtId="1" fontId="17" fillId="0" borderId="0" xfId="0" applyNumberFormat="1" applyFont="1"/>
    <xf numFmtId="0" fontId="14" fillId="0" borderId="0" xfId="0" applyFont="1" applyBorder="1"/>
    <xf numFmtId="0" fontId="14" fillId="0" borderId="27" xfId="0" applyFont="1" applyBorder="1"/>
    <xf numFmtId="0" fontId="4" fillId="0" borderId="27" xfId="0" applyFont="1" applyBorder="1"/>
    <xf numFmtId="165" fontId="4" fillId="0" borderId="0" xfId="0" applyNumberFormat="1" applyFont="1" applyBorder="1"/>
    <xf numFmtId="0" fontId="4" fillId="0" borderId="0" xfId="0" applyFont="1" applyBorder="1"/>
    <xf numFmtId="0" fontId="16" fillId="0" borderId="0" xfId="0" applyFont="1"/>
    <xf numFmtId="0" fontId="9" fillId="2" borderId="0" xfId="2" applyFont="1" applyFill="1" applyBorder="1" applyAlignment="1">
      <alignment horizontal="center" vertical="top" wrapText="1"/>
    </xf>
    <xf numFmtId="3" fontId="14" fillId="0" borderId="15" xfId="0" applyNumberFormat="1" applyFont="1" applyBorder="1"/>
    <xf numFmtId="3" fontId="14" fillId="0" borderId="17" xfId="0" applyNumberFormat="1" applyFont="1" applyBorder="1"/>
    <xf numFmtId="3" fontId="14" fillId="0" borderId="29" xfId="0" applyNumberFormat="1" applyFont="1" applyBorder="1"/>
    <xf numFmtId="3" fontId="14" fillId="0" borderId="18" xfId="0" applyNumberFormat="1" applyFont="1" applyBorder="1"/>
    <xf numFmtId="0" fontId="8" fillId="2" borderId="19" xfId="2" applyFont="1" applyFill="1" applyBorder="1"/>
    <xf numFmtId="3" fontId="14" fillId="0" borderId="19" xfId="0" applyNumberFormat="1" applyFont="1" applyBorder="1"/>
    <xf numFmtId="3" fontId="14" fillId="0" borderId="14" xfId="0" applyNumberFormat="1" applyFont="1" applyBorder="1"/>
    <xf numFmtId="3" fontId="14" fillId="0" borderId="21" xfId="0" applyNumberFormat="1" applyFont="1" applyBorder="1"/>
    <xf numFmtId="3" fontId="14" fillId="0" borderId="0" xfId="0" applyNumberFormat="1" applyFont="1" applyBorder="1"/>
    <xf numFmtId="0" fontId="5" fillId="2" borderId="19" xfId="2" applyFont="1" applyFill="1" applyBorder="1"/>
    <xf numFmtId="3" fontId="7" fillId="0" borderId="19" xfId="0" applyNumberFormat="1" applyFont="1" applyBorder="1"/>
    <xf numFmtId="3" fontId="7" fillId="0" borderId="14" xfId="0" applyNumberFormat="1" applyFont="1" applyBorder="1"/>
    <xf numFmtId="3" fontId="7" fillId="0" borderId="21" xfId="0" applyNumberFormat="1" applyFont="1" applyBorder="1"/>
    <xf numFmtId="3" fontId="7" fillId="0" borderId="0" xfId="0" applyNumberFormat="1" applyFont="1" applyBorder="1"/>
    <xf numFmtId="3" fontId="14" fillId="0" borderId="13" xfId="2" applyNumberFormat="1" applyFont="1" applyFill="1" applyBorder="1" applyAlignment="1"/>
    <xf numFmtId="3" fontId="14" fillId="0" borderId="0" xfId="2" applyNumberFormat="1" applyFont="1" applyBorder="1" applyAlignment="1"/>
    <xf numFmtId="3" fontId="10" fillId="0" borderId="19" xfId="2" applyNumberFormat="1" applyFont="1" applyBorder="1" applyAlignment="1"/>
    <xf numFmtId="3" fontId="10" fillId="0" borderId="14" xfId="2" applyNumberFormat="1" applyFont="1" applyBorder="1" applyAlignment="1"/>
    <xf numFmtId="3" fontId="10" fillId="0" borderId="21" xfId="2" applyNumberFormat="1" applyFont="1" applyBorder="1" applyAlignment="1"/>
    <xf numFmtId="3" fontId="10" fillId="0" borderId="0" xfId="2" applyNumberFormat="1" applyFont="1" applyBorder="1" applyAlignment="1"/>
    <xf numFmtId="3" fontId="10" fillId="0" borderId="20" xfId="2" applyNumberFormat="1" applyFont="1" applyBorder="1" applyAlignment="1"/>
    <xf numFmtId="3" fontId="9" fillId="0" borderId="0" xfId="0" applyNumberFormat="1" applyFont="1"/>
    <xf numFmtId="0" fontId="14" fillId="0" borderId="19" xfId="0" applyFont="1" applyBorder="1"/>
    <xf numFmtId="0" fontId="14" fillId="0" borderId="14" xfId="0" applyFont="1" applyBorder="1"/>
    <xf numFmtId="0" fontId="14" fillId="0" borderId="21" xfId="0" applyFont="1" applyBorder="1"/>
    <xf numFmtId="0" fontId="8" fillId="2" borderId="22" xfId="2" applyFont="1" applyFill="1" applyBorder="1"/>
    <xf numFmtId="0" fontId="13" fillId="2" borderId="23" xfId="2" applyFont="1" applyFill="1" applyBorder="1"/>
    <xf numFmtId="0" fontId="14" fillId="0" borderId="24" xfId="0" applyFont="1" applyBorder="1"/>
    <xf numFmtId="0" fontId="14" fillId="0" borderId="23" xfId="0" applyFont="1" applyBorder="1"/>
    <xf numFmtId="0" fontId="14" fillId="0" borderId="30" xfId="0" applyFont="1" applyBorder="1"/>
    <xf numFmtId="0" fontId="14" fillId="0" borderId="26" xfId="0" applyFont="1" applyBorder="1"/>
    <xf numFmtId="0" fontId="19" fillId="0" borderId="0" xfId="2" applyFont="1"/>
    <xf numFmtId="0" fontId="20" fillId="0" borderId="0" xfId="2" applyFont="1"/>
    <xf numFmtId="165" fontId="12" fillId="0" borderId="0" xfId="0" applyNumberFormat="1" applyFont="1"/>
    <xf numFmtId="0" fontId="20" fillId="0" borderId="0" xfId="0" applyFont="1"/>
    <xf numFmtId="0" fontId="14" fillId="0" borderId="0" xfId="0" applyFont="1"/>
    <xf numFmtId="3" fontId="14" fillId="0" borderId="0" xfId="0" applyNumberFormat="1" applyFont="1"/>
    <xf numFmtId="0" fontId="15" fillId="0" borderId="0" xfId="0" applyFont="1"/>
    <xf numFmtId="0" fontId="10" fillId="2" borderId="31" xfId="2" applyFont="1" applyFill="1" applyBorder="1" applyAlignment="1">
      <alignment horizontal="center" vertical="center" wrapText="1"/>
    </xf>
    <xf numFmtId="3" fontId="14" fillId="0" borderId="19" xfId="2" applyNumberFormat="1" applyFont="1" applyBorder="1" applyAlignment="1"/>
    <xf numFmtId="0" fontId="9" fillId="0" borderId="24" xfId="0" applyFont="1" applyBorder="1"/>
    <xf numFmtId="165" fontId="9" fillId="0" borderId="29" xfId="0" applyNumberFormat="1" applyFont="1" applyBorder="1"/>
    <xf numFmtId="3" fontId="14" fillId="0" borderId="32" xfId="2" applyNumberFormat="1" applyFont="1" applyFill="1" applyBorder="1" applyAlignment="1"/>
    <xf numFmtId="3" fontId="14" fillId="0" borderId="32" xfId="0" applyNumberFormat="1" applyFont="1" applyBorder="1"/>
    <xf numFmtId="3" fontId="14" fillId="0" borderId="32" xfId="0" applyNumberFormat="1" applyFont="1" applyFill="1" applyBorder="1"/>
    <xf numFmtId="3" fontId="7" fillId="0" borderId="32" xfId="0" applyNumberFormat="1" applyFont="1" applyFill="1" applyBorder="1"/>
    <xf numFmtId="3" fontId="7" fillId="0" borderId="32" xfId="0" applyNumberFormat="1" applyFont="1" applyBorder="1"/>
    <xf numFmtId="3" fontId="10" fillId="0" borderId="32" xfId="2" applyNumberFormat="1" applyFont="1" applyFill="1" applyBorder="1" applyAlignment="1"/>
    <xf numFmtId="3" fontId="14" fillId="0" borderId="32" xfId="2" applyNumberFormat="1" applyFont="1" applyBorder="1" applyAlignment="1"/>
    <xf numFmtId="3" fontId="10" fillId="0" borderId="32" xfId="2" applyNumberFormat="1" applyFont="1" applyBorder="1" applyAlignment="1"/>
    <xf numFmtId="3" fontId="7" fillId="0" borderId="32" xfId="2" applyNumberFormat="1" applyFont="1" applyFill="1" applyBorder="1" applyAlignment="1"/>
    <xf numFmtId="3" fontId="14" fillId="0" borderId="32" xfId="1" applyNumberFormat="1" applyFont="1" applyFill="1" applyBorder="1"/>
    <xf numFmtId="0" fontId="14" fillId="0" borderId="32" xfId="0" applyFont="1" applyBorder="1"/>
    <xf numFmtId="0" fontId="9" fillId="0" borderId="30" xfId="0" applyFont="1" applyBorder="1"/>
    <xf numFmtId="0" fontId="9" fillId="0" borderId="19" xfId="0" applyFont="1" applyBorder="1"/>
    <xf numFmtId="3" fontId="10" fillId="0" borderId="32" xfId="0" applyNumberFormat="1" applyFont="1" applyBorder="1"/>
    <xf numFmtId="3" fontId="10" fillId="0" borderId="32" xfId="0" applyNumberFormat="1" applyFont="1" applyFill="1" applyBorder="1"/>
    <xf numFmtId="3" fontId="7" fillId="0" borderId="30" xfId="0" applyNumberFormat="1" applyFont="1" applyFill="1" applyBorder="1"/>
    <xf numFmtId="166" fontId="10" fillId="0" borderId="0" xfId="0" applyNumberFormat="1" applyFont="1" applyFill="1" applyBorder="1"/>
    <xf numFmtId="166" fontId="13" fillId="0" borderId="0" xfId="0" applyNumberFormat="1" applyFont="1"/>
    <xf numFmtId="3" fontId="6" fillId="0" borderId="0" xfId="0" applyNumberFormat="1" applyFont="1"/>
    <xf numFmtId="0" fontId="2" fillId="0" borderId="0" xfId="2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8" fillId="2" borderId="1" xfId="2" applyFont="1" applyFill="1" applyBorder="1" applyAlignment="1">
      <alignment horizontal="center"/>
    </xf>
    <xf numFmtId="0" fontId="8" fillId="2" borderId="7" xfId="2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top" wrapText="1"/>
    </xf>
    <xf numFmtId="0" fontId="9" fillId="2" borderId="8" xfId="2" applyFont="1" applyFill="1" applyBorder="1" applyAlignment="1">
      <alignment horizontal="center" vertical="top" wrapText="1"/>
    </xf>
    <xf numFmtId="0" fontId="10" fillId="2" borderId="3" xfId="2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10" fillId="2" borderId="6" xfId="2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0" fillId="2" borderId="5" xfId="2" applyFont="1" applyFill="1" applyBorder="1" applyAlignment="1">
      <alignment horizontal="center" vertical="center" wrapText="1"/>
    </xf>
    <xf numFmtId="0" fontId="8" fillId="2" borderId="28" xfId="2" applyFont="1" applyFill="1" applyBorder="1" applyAlignment="1">
      <alignment horizontal="center"/>
    </xf>
    <xf numFmtId="0" fontId="8" fillId="2" borderId="9" xfId="2" applyFont="1" applyFill="1" applyBorder="1" applyAlignment="1">
      <alignment horizontal="center"/>
    </xf>
    <xf numFmtId="0" fontId="13" fillId="2" borderId="2" xfId="2" applyFont="1" applyFill="1" applyBorder="1" applyAlignment="1">
      <alignment horizontal="center"/>
    </xf>
    <xf numFmtId="0" fontId="13" fillId="2" borderId="8" xfId="2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_Quarterly BOP 200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9"/>
  <sheetViews>
    <sheetView tabSelected="1" view="pageBreakPreview" zoomScale="60" zoomScaleNormal="75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L14" sqref="L14"/>
    </sheetView>
  </sheetViews>
  <sheetFormatPr defaultRowHeight="23.25" x14ac:dyDescent="0.35"/>
  <cols>
    <col min="1" max="1" width="4.85546875" style="119" customWidth="1"/>
    <col min="2" max="2" width="56.5703125" style="19" customWidth="1"/>
    <col min="3" max="6" width="22.7109375" style="117" customWidth="1"/>
    <col min="7" max="7" width="20.140625" style="1" customWidth="1"/>
    <col min="8" max="8" width="19.85546875" style="1" customWidth="1"/>
    <col min="9" max="9" width="18" style="2" customWidth="1"/>
    <col min="10" max="10" width="19.85546875" style="1" customWidth="1"/>
    <col min="11" max="27" width="16.28515625" style="1" customWidth="1"/>
    <col min="28" max="16384" width="9.140625" style="1"/>
  </cols>
  <sheetData>
    <row r="1" spans="1:17" ht="31.5" customHeight="1" x14ac:dyDescent="0.2">
      <c r="A1" s="143" t="s">
        <v>88</v>
      </c>
      <c r="B1" s="144"/>
      <c r="C1" s="145"/>
      <c r="D1" s="145"/>
      <c r="E1" s="145"/>
      <c r="F1" s="145"/>
      <c r="G1" s="145"/>
    </row>
    <row r="2" spans="1:17" ht="30.75" customHeight="1" x14ac:dyDescent="0.2">
      <c r="A2" s="144"/>
      <c r="B2" s="144"/>
      <c r="C2" s="145"/>
      <c r="D2" s="145"/>
      <c r="E2" s="145"/>
      <c r="F2" s="145"/>
      <c r="G2" s="145"/>
    </row>
    <row r="3" spans="1:17" ht="51" customHeight="1" thickBot="1" x14ac:dyDescent="0.4">
      <c r="A3" s="3"/>
      <c r="B3" s="4"/>
      <c r="C3" s="5"/>
      <c r="D3" s="5"/>
      <c r="E3" s="5"/>
      <c r="F3" s="5"/>
      <c r="H3" s="6" t="s">
        <v>0</v>
      </c>
    </row>
    <row r="4" spans="1:17" s="8" customFormat="1" ht="48" customHeight="1" x14ac:dyDescent="0.3">
      <c r="A4" s="146"/>
      <c r="B4" s="148"/>
      <c r="C4" s="150" t="s">
        <v>1</v>
      </c>
      <c r="D4" s="151"/>
      <c r="E4" s="151"/>
      <c r="F4" s="152"/>
      <c r="G4" s="153" t="s">
        <v>1</v>
      </c>
      <c r="H4" s="150" t="s">
        <v>84</v>
      </c>
      <c r="I4" s="155"/>
      <c r="J4" s="7"/>
    </row>
    <row r="5" spans="1:17" s="8" customFormat="1" ht="79.5" customHeight="1" x14ac:dyDescent="0.3">
      <c r="A5" s="147"/>
      <c r="B5" s="149"/>
      <c r="C5" s="9" t="s">
        <v>2</v>
      </c>
      <c r="D5" s="10" t="s">
        <v>3</v>
      </c>
      <c r="E5" s="10" t="s">
        <v>4</v>
      </c>
      <c r="F5" s="11" t="s">
        <v>5</v>
      </c>
      <c r="G5" s="154"/>
      <c r="H5" s="9" t="s">
        <v>2</v>
      </c>
      <c r="I5" s="120" t="s">
        <v>87</v>
      </c>
      <c r="J5" s="7"/>
    </row>
    <row r="6" spans="1:17" s="19" customFormat="1" ht="13.5" customHeight="1" x14ac:dyDescent="0.3">
      <c r="A6" s="12"/>
      <c r="B6" s="13"/>
      <c r="C6" s="14"/>
      <c r="D6" s="15"/>
      <c r="E6" s="16"/>
      <c r="F6" s="16"/>
      <c r="G6" s="17"/>
      <c r="H6" s="136"/>
      <c r="I6" s="123"/>
      <c r="J6" s="18"/>
    </row>
    <row r="7" spans="1:17" s="26" customFormat="1" ht="27.75" customHeight="1" x14ac:dyDescent="0.3">
      <c r="A7" s="12" t="s">
        <v>6</v>
      </c>
      <c r="B7" s="20" t="s">
        <v>7</v>
      </c>
      <c r="C7" s="21">
        <f>C8+C42+C72</f>
        <v>-4223</v>
      </c>
      <c r="D7" s="22">
        <f>D8+D42+D72</f>
        <v>-8639.1999999999989</v>
      </c>
      <c r="E7" s="23">
        <f>E8+E42+E72</f>
        <v>-10984.370930207573</v>
      </c>
      <c r="F7" s="23">
        <f>F8+F42+F72</f>
        <v>-11703.192999999999</v>
      </c>
      <c r="G7" s="24">
        <f>C7+D7+E7+F7</f>
        <v>-35549.76393020757</v>
      </c>
      <c r="H7" s="21">
        <f>H8+H42+H72</f>
        <v>-6876.512999999999</v>
      </c>
      <c r="I7" s="137">
        <f>I8+I42+I72</f>
        <v>-7445</v>
      </c>
      <c r="J7" s="25"/>
    </row>
    <row r="8" spans="1:17" s="26" customFormat="1" ht="27.75" customHeight="1" x14ac:dyDescent="0.3">
      <c r="A8" s="12" t="s">
        <v>8</v>
      </c>
      <c r="B8" s="20" t="s">
        <v>9</v>
      </c>
      <c r="C8" s="21">
        <f>C9+C19</f>
        <v>-7562</v>
      </c>
      <c r="D8" s="22">
        <f>D9+D19</f>
        <v>-10643</v>
      </c>
      <c r="E8" s="23">
        <f>E9+E19</f>
        <v>-12674.370930207573</v>
      </c>
      <c r="F8" s="23">
        <f>F9+F19</f>
        <v>-13233</v>
      </c>
      <c r="G8" s="24">
        <f t="shared" ref="G8:G54" si="0">C8+D8+E8+F8</f>
        <v>-44112.370930207573</v>
      </c>
      <c r="H8" s="21">
        <f>H9+H19</f>
        <v>-9084</v>
      </c>
      <c r="I8" s="137">
        <f>I9+I19</f>
        <v>-8234</v>
      </c>
      <c r="J8" s="25"/>
    </row>
    <row r="9" spans="1:17" s="26" customFormat="1" ht="27.75" customHeight="1" x14ac:dyDescent="0.3">
      <c r="A9" s="12"/>
      <c r="B9" s="20" t="s">
        <v>10</v>
      </c>
      <c r="C9" s="21">
        <f>C10+C11</f>
        <v>-17194</v>
      </c>
      <c r="D9" s="22">
        <f>D10+D11</f>
        <v>-18095</v>
      </c>
      <c r="E9" s="23">
        <f>E10+E11</f>
        <v>-17157</v>
      </c>
      <c r="F9" s="23">
        <f>F10+F11</f>
        <v>-20652</v>
      </c>
      <c r="G9" s="24">
        <f t="shared" si="0"/>
        <v>-73098</v>
      </c>
      <c r="H9" s="21">
        <f>H10+H11</f>
        <v>-15217</v>
      </c>
      <c r="I9" s="137">
        <f>I10+I11</f>
        <v>-14937</v>
      </c>
      <c r="J9" s="25"/>
    </row>
    <row r="10" spans="1:17" s="19" customFormat="1" ht="27.75" customHeight="1" x14ac:dyDescent="0.35">
      <c r="A10" s="12"/>
      <c r="B10" s="27" t="s">
        <v>11</v>
      </c>
      <c r="C10" s="28">
        <f>C13+C16</f>
        <v>18402</v>
      </c>
      <c r="D10" s="29">
        <f t="shared" ref="C10:E11" si="1">D13+D16</f>
        <v>20434</v>
      </c>
      <c r="E10" s="30">
        <f t="shared" si="1"/>
        <v>19751</v>
      </c>
      <c r="F10" s="30">
        <f>F13+F16</f>
        <v>21772</v>
      </c>
      <c r="G10" s="31">
        <f t="shared" si="0"/>
        <v>80359</v>
      </c>
      <c r="H10" s="28">
        <f>H13+H16</f>
        <v>20361</v>
      </c>
      <c r="I10" s="126">
        <f>I13+I16</f>
        <v>21746</v>
      </c>
      <c r="J10" s="32"/>
    </row>
    <row r="11" spans="1:17" s="19" customFormat="1" ht="27.75" customHeight="1" x14ac:dyDescent="0.35">
      <c r="A11" s="12"/>
      <c r="B11" s="27" t="s">
        <v>12</v>
      </c>
      <c r="C11" s="33">
        <f t="shared" si="1"/>
        <v>-35596</v>
      </c>
      <c r="D11" s="34">
        <f t="shared" si="1"/>
        <v>-38529</v>
      </c>
      <c r="E11" s="35">
        <f t="shared" si="1"/>
        <v>-36908</v>
      </c>
      <c r="F11" s="35">
        <f>F14+F17</f>
        <v>-42424</v>
      </c>
      <c r="G11" s="36">
        <f t="shared" si="0"/>
        <v>-153457</v>
      </c>
      <c r="H11" s="33">
        <f>H14+H17</f>
        <v>-35578</v>
      </c>
      <c r="I11" s="124">
        <f>I14+I17</f>
        <v>-36683</v>
      </c>
      <c r="J11" s="37"/>
      <c r="Q11" s="19" t="s">
        <v>13</v>
      </c>
    </row>
    <row r="12" spans="1:17" s="19" customFormat="1" ht="27.75" customHeight="1" x14ac:dyDescent="0.35">
      <c r="A12" s="12"/>
      <c r="B12" s="27" t="s">
        <v>14</v>
      </c>
      <c r="C12" s="28">
        <f>C13+C14</f>
        <v>-18725</v>
      </c>
      <c r="D12" s="29">
        <f>D13+D14</f>
        <v>-20672</v>
      </c>
      <c r="E12" s="30">
        <f>E13+E14</f>
        <v>-18882</v>
      </c>
      <c r="F12" s="30">
        <f>F13+F14</f>
        <v>-23434</v>
      </c>
      <c r="G12" s="31">
        <f t="shared" si="0"/>
        <v>-81713</v>
      </c>
      <c r="H12" s="28">
        <f>H13+H14</f>
        <v>-18340</v>
      </c>
      <c r="I12" s="126">
        <f>I13+I14</f>
        <v>-18425</v>
      </c>
      <c r="J12" s="32"/>
    </row>
    <row r="13" spans="1:17" s="19" customFormat="1" ht="27.75" customHeight="1" x14ac:dyDescent="0.35">
      <c r="A13" s="12"/>
      <c r="B13" s="27" t="s">
        <v>15</v>
      </c>
      <c r="C13" s="28">
        <v>15690</v>
      </c>
      <c r="D13" s="29">
        <v>16928</v>
      </c>
      <c r="E13" s="30">
        <v>17264</v>
      </c>
      <c r="F13" s="30">
        <v>18190</v>
      </c>
      <c r="G13" s="31">
        <f t="shared" si="0"/>
        <v>68072</v>
      </c>
      <c r="H13" s="28">
        <v>16491</v>
      </c>
      <c r="I13" s="126">
        <v>17553</v>
      </c>
      <c r="J13" s="32"/>
    </row>
    <row r="14" spans="1:17" s="19" customFormat="1" ht="27.75" customHeight="1" x14ac:dyDescent="0.35">
      <c r="A14" s="12"/>
      <c r="B14" s="27" t="s">
        <v>16</v>
      </c>
      <c r="C14" s="28">
        <v>-34415</v>
      </c>
      <c r="D14" s="29">
        <v>-37600</v>
      </c>
      <c r="E14" s="30">
        <v>-36146</v>
      </c>
      <c r="F14" s="30">
        <v>-41624</v>
      </c>
      <c r="G14" s="31">
        <f t="shared" si="0"/>
        <v>-149785</v>
      </c>
      <c r="H14" s="28">
        <v>-34831</v>
      </c>
      <c r="I14" s="126">
        <v>-35978</v>
      </c>
      <c r="J14" s="32"/>
    </row>
    <row r="15" spans="1:17" s="19" customFormat="1" ht="27.75" customHeight="1" x14ac:dyDescent="0.35">
      <c r="A15" s="38"/>
      <c r="B15" s="27" t="s">
        <v>17</v>
      </c>
      <c r="C15" s="33">
        <f>C16+C17</f>
        <v>1531</v>
      </c>
      <c r="D15" s="34">
        <f>D16+D17</f>
        <v>2577</v>
      </c>
      <c r="E15" s="35">
        <f>E16+E17</f>
        <v>1725</v>
      </c>
      <c r="F15" s="35">
        <f>F16+F17</f>
        <v>2782</v>
      </c>
      <c r="G15" s="36">
        <f t="shared" si="0"/>
        <v>8615</v>
      </c>
      <c r="H15" s="33">
        <f>H16+H17</f>
        <v>3123</v>
      </c>
      <c r="I15" s="124">
        <f>I16+I17</f>
        <v>3488</v>
      </c>
      <c r="J15" s="37"/>
    </row>
    <row r="16" spans="1:17" s="19" customFormat="1" ht="27.75" customHeight="1" x14ac:dyDescent="0.35">
      <c r="A16" s="12"/>
      <c r="B16" s="27" t="s">
        <v>15</v>
      </c>
      <c r="C16" s="28">
        <v>2712</v>
      </c>
      <c r="D16" s="29">
        <v>3506</v>
      </c>
      <c r="E16" s="30">
        <v>2487</v>
      </c>
      <c r="F16" s="30">
        <v>3582</v>
      </c>
      <c r="G16" s="31">
        <f t="shared" si="0"/>
        <v>12287</v>
      </c>
      <c r="H16" s="28">
        <v>3870</v>
      </c>
      <c r="I16" s="126">
        <v>4193</v>
      </c>
      <c r="J16" s="32"/>
    </row>
    <row r="17" spans="1:11" s="19" customFormat="1" ht="27.75" customHeight="1" x14ac:dyDescent="0.35">
      <c r="A17" s="12"/>
      <c r="B17" s="27" t="s">
        <v>16</v>
      </c>
      <c r="C17" s="33">
        <v>-1181</v>
      </c>
      <c r="D17" s="34">
        <v>-929</v>
      </c>
      <c r="E17" s="35">
        <v>-762</v>
      </c>
      <c r="F17" s="35">
        <v>-800</v>
      </c>
      <c r="G17" s="36">
        <f t="shared" si="0"/>
        <v>-3672</v>
      </c>
      <c r="H17" s="33">
        <v>-747</v>
      </c>
      <c r="I17" s="124">
        <v>-705</v>
      </c>
      <c r="J17" s="37"/>
    </row>
    <row r="18" spans="1:11" s="19" customFormat="1" ht="27.75" customHeight="1" x14ac:dyDescent="0.35">
      <c r="A18" s="12"/>
      <c r="B18" s="27" t="s">
        <v>18</v>
      </c>
      <c r="C18" s="28">
        <v>-110</v>
      </c>
      <c r="D18" s="29">
        <v>-139</v>
      </c>
      <c r="E18" s="30">
        <v>-128</v>
      </c>
      <c r="F18" s="30">
        <v>-359</v>
      </c>
      <c r="G18" s="31">
        <f t="shared" si="0"/>
        <v>-736</v>
      </c>
      <c r="H18" s="28">
        <v>-136</v>
      </c>
      <c r="I18" s="126">
        <v>-126</v>
      </c>
      <c r="J18" s="32"/>
    </row>
    <row r="19" spans="1:11" s="26" customFormat="1" ht="27.75" customHeight="1" x14ac:dyDescent="0.3">
      <c r="A19" s="12"/>
      <c r="B19" s="20" t="s">
        <v>19</v>
      </c>
      <c r="C19" s="39">
        <f>C20+C31</f>
        <v>9632</v>
      </c>
      <c r="D19" s="40">
        <f>D20+D31</f>
        <v>7452</v>
      </c>
      <c r="E19" s="41">
        <f>E20+E31</f>
        <v>4482.6290697924269</v>
      </c>
      <c r="F19" s="41">
        <f>F20+F31</f>
        <v>7419</v>
      </c>
      <c r="G19" s="42">
        <f t="shared" si="0"/>
        <v>28985.629069792427</v>
      </c>
      <c r="H19" s="39">
        <f>H20+H31</f>
        <v>6133</v>
      </c>
      <c r="I19" s="138">
        <f>I20+I31</f>
        <v>6703</v>
      </c>
      <c r="J19" s="140"/>
      <c r="K19" s="141"/>
    </row>
    <row r="20" spans="1:11" s="19" customFormat="1" ht="27.75" customHeight="1" x14ac:dyDescent="0.35">
      <c r="A20" s="12"/>
      <c r="B20" s="27" t="s">
        <v>20</v>
      </c>
      <c r="C20" s="33">
        <f>C21+C25+C28</f>
        <v>27831</v>
      </c>
      <c r="D20" s="34">
        <f>D21+D25+D28</f>
        <v>26376</v>
      </c>
      <c r="E20" s="35">
        <f>E21+E25+E28</f>
        <v>21589.629069792427</v>
      </c>
      <c r="F20" s="35">
        <f>F21+F25+F28</f>
        <v>26416</v>
      </c>
      <c r="G20" s="36">
        <f t="shared" si="0"/>
        <v>102212.62906979243</v>
      </c>
      <c r="H20" s="33">
        <f>H21+H25+H28</f>
        <v>26150</v>
      </c>
      <c r="I20" s="124">
        <f>I21+I25+I28</f>
        <v>27880</v>
      </c>
      <c r="J20" s="37"/>
    </row>
    <row r="21" spans="1:11" s="19" customFormat="1" ht="27.75" customHeight="1" x14ac:dyDescent="0.35">
      <c r="A21" s="12"/>
      <c r="B21" s="27" t="s">
        <v>21</v>
      </c>
      <c r="C21" s="28">
        <f>C22+C23+C24</f>
        <v>3103</v>
      </c>
      <c r="D21" s="29">
        <v>2930</v>
      </c>
      <c r="E21" s="30">
        <f>E22+E23+E24</f>
        <v>2499</v>
      </c>
      <c r="F21" s="30">
        <f>F22+F23+F24</f>
        <v>3035</v>
      </c>
      <c r="G21" s="31">
        <f t="shared" si="0"/>
        <v>11567</v>
      </c>
      <c r="H21" s="28">
        <f>H22+H23+H24</f>
        <v>2855</v>
      </c>
      <c r="I21" s="126">
        <f>I22+I23+I24</f>
        <v>2339</v>
      </c>
      <c r="J21" s="32"/>
    </row>
    <row r="22" spans="1:11" s="50" customFormat="1" ht="27.75" customHeight="1" x14ac:dyDescent="0.35">
      <c r="A22" s="43"/>
      <c r="B22" s="44" t="s">
        <v>22</v>
      </c>
      <c r="C22" s="45">
        <v>2402</v>
      </c>
      <c r="D22" s="46">
        <v>2277</v>
      </c>
      <c r="E22" s="47">
        <v>1875</v>
      </c>
      <c r="F22" s="47">
        <v>2379</v>
      </c>
      <c r="G22" s="48">
        <f t="shared" si="0"/>
        <v>8933</v>
      </c>
      <c r="H22" s="45">
        <v>2177</v>
      </c>
      <c r="I22" s="132">
        <v>1602</v>
      </c>
      <c r="J22" s="49"/>
    </row>
    <row r="23" spans="1:11" s="50" customFormat="1" ht="27.75" customHeight="1" x14ac:dyDescent="0.35">
      <c r="A23" s="43"/>
      <c r="B23" s="44" t="s">
        <v>23</v>
      </c>
      <c r="C23" s="45">
        <v>151</v>
      </c>
      <c r="D23" s="46">
        <v>144</v>
      </c>
      <c r="E23" s="47">
        <v>149</v>
      </c>
      <c r="F23" s="47">
        <v>183</v>
      </c>
      <c r="G23" s="48">
        <f t="shared" si="0"/>
        <v>627</v>
      </c>
      <c r="H23" s="45">
        <v>140</v>
      </c>
      <c r="I23" s="132">
        <v>149</v>
      </c>
      <c r="J23" s="49"/>
    </row>
    <row r="24" spans="1:11" s="50" customFormat="1" ht="27.75" customHeight="1" x14ac:dyDescent="0.35">
      <c r="A24" s="43"/>
      <c r="B24" s="44" t="s">
        <v>24</v>
      </c>
      <c r="C24" s="51">
        <v>550</v>
      </c>
      <c r="D24" s="52">
        <f>D21-D22-D23</f>
        <v>509</v>
      </c>
      <c r="E24" s="53">
        <v>475</v>
      </c>
      <c r="F24" s="53">
        <v>473</v>
      </c>
      <c r="G24" s="54">
        <f t="shared" si="0"/>
        <v>2007</v>
      </c>
      <c r="H24" s="57">
        <v>538</v>
      </c>
      <c r="I24" s="127">
        <v>588</v>
      </c>
      <c r="J24" s="55"/>
    </row>
    <row r="25" spans="1:11" s="19" customFormat="1" ht="27.75" customHeight="1" x14ac:dyDescent="0.35">
      <c r="A25" s="38"/>
      <c r="B25" s="27" t="s">
        <v>25</v>
      </c>
      <c r="C25" s="33">
        <f>C26+C27</f>
        <v>13768</v>
      </c>
      <c r="D25" s="34">
        <f>D26+D27</f>
        <v>9780</v>
      </c>
      <c r="E25" s="35">
        <f>E26+E27</f>
        <v>8405.6290697924287</v>
      </c>
      <c r="F25" s="35">
        <f>F26+F27</f>
        <v>12424</v>
      </c>
      <c r="G25" s="36">
        <f t="shared" si="0"/>
        <v>44377.629069792427</v>
      </c>
      <c r="H25" s="33">
        <f>H26+H27</f>
        <v>12064</v>
      </c>
      <c r="I25" s="124">
        <f>I26+I27</f>
        <v>9991</v>
      </c>
      <c r="J25" s="37"/>
    </row>
    <row r="26" spans="1:11" s="50" customFormat="1" ht="27.75" customHeight="1" x14ac:dyDescent="0.35">
      <c r="A26" s="43"/>
      <c r="B26" s="44" t="s">
        <v>26</v>
      </c>
      <c r="C26" s="45">
        <v>5079</v>
      </c>
      <c r="D26" s="46">
        <v>3644</v>
      </c>
      <c r="E26" s="47">
        <v>2612.696299937968</v>
      </c>
      <c r="F26" s="47">
        <v>4240</v>
      </c>
      <c r="G26" s="48">
        <f t="shared" si="0"/>
        <v>15575.696299937968</v>
      </c>
      <c r="H26" s="45">
        <v>4173</v>
      </c>
      <c r="I26" s="132">
        <v>3469</v>
      </c>
      <c r="J26" s="49"/>
    </row>
    <row r="27" spans="1:11" s="50" customFormat="1" ht="27.75" customHeight="1" x14ac:dyDescent="0.35">
      <c r="A27" s="56"/>
      <c r="B27" s="44" t="s">
        <v>27</v>
      </c>
      <c r="C27" s="57">
        <v>8689</v>
      </c>
      <c r="D27" s="52">
        <v>6136</v>
      </c>
      <c r="E27" s="53">
        <v>5792.9327698544603</v>
      </c>
      <c r="F27" s="53">
        <v>8184</v>
      </c>
      <c r="G27" s="54">
        <f t="shared" si="0"/>
        <v>28801.932769854458</v>
      </c>
      <c r="H27" s="57">
        <v>7891</v>
      </c>
      <c r="I27" s="127">
        <v>6522</v>
      </c>
      <c r="J27" s="55"/>
    </row>
    <row r="28" spans="1:11" s="19" customFormat="1" ht="27.75" customHeight="1" x14ac:dyDescent="0.35">
      <c r="A28" s="12"/>
      <c r="B28" s="27" t="s">
        <v>28</v>
      </c>
      <c r="C28" s="33">
        <f>C29+C30</f>
        <v>10960</v>
      </c>
      <c r="D28" s="34">
        <f>D29+D30</f>
        <v>13666</v>
      </c>
      <c r="E28" s="35">
        <f>E29+E30</f>
        <v>10685</v>
      </c>
      <c r="F28" s="35">
        <f>F29+F30</f>
        <v>10957</v>
      </c>
      <c r="G28" s="36">
        <f t="shared" si="0"/>
        <v>46268</v>
      </c>
      <c r="H28" s="33">
        <f>H29+H30</f>
        <v>11231</v>
      </c>
      <c r="I28" s="124">
        <f>I29+I30</f>
        <v>15550</v>
      </c>
      <c r="J28" s="37"/>
    </row>
    <row r="29" spans="1:11" s="50" customFormat="1" ht="27.75" customHeight="1" x14ac:dyDescent="0.35">
      <c r="A29" s="43"/>
      <c r="B29" s="44" t="s">
        <v>29</v>
      </c>
      <c r="C29" s="45">
        <v>10793</v>
      </c>
      <c r="D29" s="46">
        <v>13436</v>
      </c>
      <c r="E29" s="47">
        <v>10257</v>
      </c>
      <c r="F29" s="47">
        <v>10453</v>
      </c>
      <c r="G29" s="48">
        <f t="shared" si="0"/>
        <v>44939</v>
      </c>
      <c r="H29" s="45">
        <v>11012</v>
      </c>
      <c r="I29" s="132">
        <v>15079</v>
      </c>
      <c r="J29" s="49"/>
    </row>
    <row r="30" spans="1:11" s="50" customFormat="1" ht="27.75" customHeight="1" x14ac:dyDescent="0.35">
      <c r="A30" s="43"/>
      <c r="B30" s="44" t="s">
        <v>30</v>
      </c>
      <c r="C30" s="45">
        <v>167</v>
      </c>
      <c r="D30" s="46">
        <v>230</v>
      </c>
      <c r="E30" s="47">
        <v>428</v>
      </c>
      <c r="F30" s="47">
        <v>504</v>
      </c>
      <c r="G30" s="48">
        <f t="shared" si="0"/>
        <v>1329</v>
      </c>
      <c r="H30" s="45">
        <v>219</v>
      </c>
      <c r="I30" s="132">
        <v>471</v>
      </c>
      <c r="J30" s="49"/>
    </row>
    <row r="31" spans="1:11" s="19" customFormat="1" ht="27.75" customHeight="1" x14ac:dyDescent="0.35">
      <c r="A31" s="12"/>
      <c r="B31" s="27" t="s">
        <v>31</v>
      </c>
      <c r="C31" s="28">
        <f>C32+C36+C39</f>
        <v>-18199</v>
      </c>
      <c r="D31" s="29">
        <f>D32+D36+D39</f>
        <v>-18924</v>
      </c>
      <c r="E31" s="30">
        <f>E32+E36+E39</f>
        <v>-17107</v>
      </c>
      <c r="F31" s="30">
        <f>F32+F36+F39</f>
        <v>-18997</v>
      </c>
      <c r="G31" s="31">
        <f t="shared" si="0"/>
        <v>-73227</v>
      </c>
      <c r="H31" s="28">
        <f>H32+H36+H39</f>
        <v>-20017</v>
      </c>
      <c r="I31" s="126">
        <f>I32+I36+I39</f>
        <v>-21177</v>
      </c>
      <c r="J31" s="32"/>
    </row>
    <row r="32" spans="1:11" s="19" customFormat="1" ht="27.75" customHeight="1" x14ac:dyDescent="0.35">
      <c r="A32" s="12"/>
      <c r="B32" s="27" t="s">
        <v>21</v>
      </c>
      <c r="C32" s="28">
        <f>C33+C34+C35</f>
        <v>-4342</v>
      </c>
      <c r="D32" s="29">
        <f>D33+D34+D35</f>
        <v>-4156</v>
      </c>
      <c r="E32" s="30">
        <f>E33+E34+E35</f>
        <v>-4409</v>
      </c>
      <c r="F32" s="30">
        <f>F33+F34+F35</f>
        <v>-4977</v>
      </c>
      <c r="G32" s="31">
        <f t="shared" si="0"/>
        <v>-17884</v>
      </c>
      <c r="H32" s="28">
        <f>H33+H34+H35</f>
        <v>-4372</v>
      </c>
      <c r="I32" s="126">
        <f>I33+I34+I35</f>
        <v>-4178</v>
      </c>
      <c r="J32" s="32"/>
    </row>
    <row r="33" spans="1:11" s="50" customFormat="1" ht="27.75" customHeight="1" x14ac:dyDescent="0.35">
      <c r="A33" s="43"/>
      <c r="B33" s="44" t="s">
        <v>22</v>
      </c>
      <c r="C33" s="45">
        <v>-175</v>
      </c>
      <c r="D33" s="46">
        <v>-229</v>
      </c>
      <c r="E33" s="47">
        <v>-225</v>
      </c>
      <c r="F33" s="47">
        <v>-203</v>
      </c>
      <c r="G33" s="48">
        <f t="shared" si="0"/>
        <v>-832</v>
      </c>
      <c r="H33" s="45">
        <v>-140</v>
      </c>
      <c r="I33" s="132">
        <v>-113</v>
      </c>
      <c r="J33" s="49"/>
      <c r="K33" s="142"/>
    </row>
    <row r="34" spans="1:11" s="50" customFormat="1" ht="27.75" customHeight="1" x14ac:dyDescent="0.35">
      <c r="A34" s="43"/>
      <c r="B34" s="44" t="s">
        <v>23</v>
      </c>
      <c r="C34" s="57">
        <v>-2215</v>
      </c>
      <c r="D34" s="52">
        <v>-2396</v>
      </c>
      <c r="E34" s="53">
        <v>-2422</v>
      </c>
      <c r="F34" s="53">
        <v>-2734</v>
      </c>
      <c r="G34" s="54">
        <f t="shared" si="0"/>
        <v>-9767</v>
      </c>
      <c r="H34" s="57">
        <v>-2189</v>
      </c>
      <c r="I34" s="127">
        <v>-2389</v>
      </c>
      <c r="J34" s="55"/>
    </row>
    <row r="35" spans="1:11" s="50" customFormat="1" ht="27.75" customHeight="1" x14ac:dyDescent="0.35">
      <c r="A35" s="43"/>
      <c r="B35" s="44" t="s">
        <v>24</v>
      </c>
      <c r="C35" s="51">
        <v>-1952</v>
      </c>
      <c r="D35" s="52">
        <v>-1531</v>
      </c>
      <c r="E35" s="53">
        <v>-1762</v>
      </c>
      <c r="F35" s="53">
        <v>-2040</v>
      </c>
      <c r="G35" s="54">
        <f t="shared" si="0"/>
        <v>-7285</v>
      </c>
      <c r="H35" s="57">
        <v>-2043</v>
      </c>
      <c r="I35" s="127">
        <v>-1676</v>
      </c>
      <c r="J35" s="55"/>
    </row>
    <row r="36" spans="1:11" s="19" customFormat="1" ht="27.75" customHeight="1" x14ac:dyDescent="0.35">
      <c r="A36" s="38"/>
      <c r="B36" s="27" t="s">
        <v>25</v>
      </c>
      <c r="C36" s="33">
        <f>C37+C38</f>
        <v>-2575</v>
      </c>
      <c r="D36" s="34">
        <f>D37+D38</f>
        <v>-2632</v>
      </c>
      <c r="E36" s="35">
        <f>E37+E38</f>
        <v>-2979</v>
      </c>
      <c r="F36" s="35">
        <f>F37+F38</f>
        <v>-2810</v>
      </c>
      <c r="G36" s="36">
        <f t="shared" si="0"/>
        <v>-10996</v>
      </c>
      <c r="H36" s="33">
        <f>H37+H38</f>
        <v>-3212</v>
      </c>
      <c r="I36" s="124">
        <f>I37+I38</f>
        <v>-3081</v>
      </c>
      <c r="J36" s="37"/>
    </row>
    <row r="37" spans="1:11" s="50" customFormat="1" ht="27.75" customHeight="1" x14ac:dyDescent="0.35">
      <c r="A37" s="43"/>
      <c r="B37" s="44" t="s">
        <v>26</v>
      </c>
      <c r="C37" s="45">
        <v>-113</v>
      </c>
      <c r="D37" s="46">
        <v>-193</v>
      </c>
      <c r="E37" s="47">
        <v>-110</v>
      </c>
      <c r="F37" s="47">
        <v>-236</v>
      </c>
      <c r="G37" s="48">
        <f t="shared" si="0"/>
        <v>-652</v>
      </c>
      <c r="H37" s="45">
        <v>-219</v>
      </c>
      <c r="I37" s="132">
        <v>-201</v>
      </c>
      <c r="J37" s="49"/>
    </row>
    <row r="38" spans="1:11" s="50" customFormat="1" ht="27.75" customHeight="1" x14ac:dyDescent="0.35">
      <c r="A38" s="56"/>
      <c r="B38" s="44" t="s">
        <v>27</v>
      </c>
      <c r="C38" s="57">
        <v>-2462</v>
      </c>
      <c r="D38" s="52">
        <v>-2439</v>
      </c>
      <c r="E38" s="53">
        <v>-2869</v>
      </c>
      <c r="F38" s="53">
        <v>-2574</v>
      </c>
      <c r="G38" s="54">
        <f t="shared" si="0"/>
        <v>-10344</v>
      </c>
      <c r="H38" s="57">
        <v>-2993</v>
      </c>
      <c r="I38" s="127">
        <v>-2880</v>
      </c>
      <c r="J38" s="55"/>
    </row>
    <row r="39" spans="1:11" s="19" customFormat="1" ht="27.75" customHeight="1" x14ac:dyDescent="0.35">
      <c r="A39" s="12"/>
      <c r="B39" s="27" t="s">
        <v>28</v>
      </c>
      <c r="C39" s="58">
        <f>C40+C41</f>
        <v>-11282</v>
      </c>
      <c r="D39" s="59">
        <f>D40+D41</f>
        <v>-12136</v>
      </c>
      <c r="E39" s="60">
        <f>E40+E41</f>
        <v>-9719</v>
      </c>
      <c r="F39" s="60">
        <f>F40+F41</f>
        <v>-11210</v>
      </c>
      <c r="G39" s="61">
        <f t="shared" si="0"/>
        <v>-44347</v>
      </c>
      <c r="H39" s="58">
        <f>H40+H41</f>
        <v>-12433</v>
      </c>
      <c r="I39" s="133">
        <f>I40+I41</f>
        <v>-13918</v>
      </c>
      <c r="J39" s="62"/>
    </row>
    <row r="40" spans="1:11" s="50" customFormat="1" ht="27.75" customHeight="1" x14ac:dyDescent="0.35">
      <c r="A40" s="56"/>
      <c r="B40" s="44" t="s">
        <v>29</v>
      </c>
      <c r="C40" s="57">
        <v>-10889</v>
      </c>
      <c r="D40" s="52">
        <v>-11830</v>
      </c>
      <c r="E40" s="53">
        <v>-9240</v>
      </c>
      <c r="F40" s="53">
        <v>-10524</v>
      </c>
      <c r="G40" s="54">
        <f t="shared" si="0"/>
        <v>-42483</v>
      </c>
      <c r="H40" s="57">
        <v>-12072</v>
      </c>
      <c r="I40" s="127">
        <v>-13565</v>
      </c>
      <c r="J40" s="55"/>
    </row>
    <row r="41" spans="1:11" s="50" customFormat="1" ht="27.75" customHeight="1" x14ac:dyDescent="0.35">
      <c r="A41" s="56"/>
      <c r="B41" s="44" t="s">
        <v>30</v>
      </c>
      <c r="C41" s="57">
        <v>-393</v>
      </c>
      <c r="D41" s="52">
        <v>-306</v>
      </c>
      <c r="E41" s="53">
        <v>-479</v>
      </c>
      <c r="F41" s="53">
        <v>-686</v>
      </c>
      <c r="G41" s="54">
        <f t="shared" si="0"/>
        <v>-1864</v>
      </c>
      <c r="H41" s="57">
        <v>-361</v>
      </c>
      <c r="I41" s="127">
        <v>-353</v>
      </c>
      <c r="J41" s="55"/>
    </row>
    <row r="42" spans="1:11" s="19" customFormat="1" ht="27.75" customHeight="1" x14ac:dyDescent="0.3">
      <c r="A42" s="12" t="s">
        <v>32</v>
      </c>
      <c r="B42" s="20" t="s">
        <v>33</v>
      </c>
      <c r="C42" s="63">
        <f>C43+C60</f>
        <v>1762</v>
      </c>
      <c r="D42" s="64">
        <f>D43+D60</f>
        <v>1455.8000000000011</v>
      </c>
      <c r="E42" s="65">
        <f>E43+E60</f>
        <v>1646</v>
      </c>
      <c r="F42" s="65">
        <f>F43+F60</f>
        <v>-560.89300000000003</v>
      </c>
      <c r="G42" s="66">
        <f t="shared" si="0"/>
        <v>4302.9070000000011</v>
      </c>
      <c r="H42" s="63">
        <f>H43+H60</f>
        <v>2114.9170000000013</v>
      </c>
      <c r="I42" s="129">
        <f>I43+I60</f>
        <v>182</v>
      </c>
      <c r="J42" s="67"/>
    </row>
    <row r="43" spans="1:11" s="19" customFormat="1" ht="27.75" customHeight="1" x14ac:dyDescent="0.35">
      <c r="A43" s="12"/>
      <c r="B43" s="27" t="s">
        <v>34</v>
      </c>
      <c r="C43" s="28">
        <f>C44+C45+C47+C49</f>
        <v>10883</v>
      </c>
      <c r="D43" s="29">
        <f>D44+D45+D47+D49</f>
        <v>12435.6</v>
      </c>
      <c r="E43" s="30">
        <f>E44+E45+E47+E49</f>
        <v>12082</v>
      </c>
      <c r="F43" s="30">
        <f>F44+F45+F47+F49</f>
        <v>10902.8</v>
      </c>
      <c r="G43" s="31">
        <f t="shared" si="0"/>
        <v>46303.399999999994</v>
      </c>
      <c r="H43" s="28">
        <f>H44+H45+H47+H49</f>
        <v>11506</v>
      </c>
      <c r="I43" s="126">
        <f>I44+I45+I47+I49</f>
        <v>11513</v>
      </c>
      <c r="J43" s="32"/>
    </row>
    <row r="44" spans="1:11" s="19" customFormat="1" ht="27.75" customHeight="1" x14ac:dyDescent="0.35">
      <c r="A44" s="12"/>
      <c r="B44" s="27" t="s">
        <v>35</v>
      </c>
      <c r="C44" s="28">
        <v>5</v>
      </c>
      <c r="D44" s="29">
        <v>5</v>
      </c>
      <c r="E44" s="30">
        <v>12</v>
      </c>
      <c r="F44" s="30">
        <v>4</v>
      </c>
      <c r="G44" s="31">
        <f t="shared" si="0"/>
        <v>26</v>
      </c>
      <c r="H44" s="28">
        <v>4</v>
      </c>
      <c r="I44" s="126">
        <v>6</v>
      </c>
      <c r="J44" s="32"/>
    </row>
    <row r="45" spans="1:11" s="19" customFormat="1" ht="27.75" customHeight="1" x14ac:dyDescent="0.35">
      <c r="A45" s="12"/>
      <c r="B45" s="27" t="s">
        <v>36</v>
      </c>
      <c r="C45" s="28">
        <f>78+C46</f>
        <v>4935</v>
      </c>
      <c r="D45" s="29">
        <f>812+D46</f>
        <v>5633</v>
      </c>
      <c r="E45" s="30">
        <f>245+E46</f>
        <v>5872</v>
      </c>
      <c r="F45" s="30">
        <f>45+F46</f>
        <v>4199</v>
      </c>
      <c r="G45" s="31">
        <f t="shared" si="0"/>
        <v>20639</v>
      </c>
      <c r="H45" s="28">
        <f>43+H46</f>
        <v>5143</v>
      </c>
      <c r="I45" s="126">
        <f>193+I46</f>
        <v>5518</v>
      </c>
      <c r="J45" s="32"/>
    </row>
    <row r="46" spans="1:11" s="50" customFormat="1" ht="27.75" customHeight="1" x14ac:dyDescent="0.35">
      <c r="A46" s="56"/>
      <c r="B46" s="44" t="s">
        <v>37</v>
      </c>
      <c r="C46" s="51">
        <v>4857</v>
      </c>
      <c r="D46" s="52">
        <v>4821</v>
      </c>
      <c r="E46" s="52">
        <v>5627</v>
      </c>
      <c r="F46" s="53">
        <v>4154</v>
      </c>
      <c r="G46" s="54">
        <f t="shared" si="0"/>
        <v>19459</v>
      </c>
      <c r="H46" s="57">
        <v>5100</v>
      </c>
      <c r="I46" s="127">
        <v>5325</v>
      </c>
      <c r="J46" s="55"/>
    </row>
    <row r="47" spans="1:11" s="19" customFormat="1" ht="27.75" customHeight="1" x14ac:dyDescent="0.35">
      <c r="A47" s="12"/>
      <c r="B47" s="27" t="s">
        <v>38</v>
      </c>
      <c r="C47" s="28">
        <f>108+C48</f>
        <v>964</v>
      </c>
      <c r="D47" s="29">
        <f>1188+D48</f>
        <v>1812</v>
      </c>
      <c r="E47" s="30">
        <f>285+E48</f>
        <v>868</v>
      </c>
      <c r="F47" s="30">
        <f>96+F48</f>
        <v>691.1</v>
      </c>
      <c r="G47" s="31">
        <f t="shared" si="0"/>
        <v>4335.1000000000004</v>
      </c>
      <c r="H47" s="28">
        <f>611+H48</f>
        <v>1510</v>
      </c>
      <c r="I47" s="126">
        <f>167+I48</f>
        <v>1092</v>
      </c>
      <c r="J47" s="32"/>
    </row>
    <row r="48" spans="1:11" s="50" customFormat="1" ht="27.75" customHeight="1" x14ac:dyDescent="0.35">
      <c r="A48" s="56"/>
      <c r="B48" s="44" t="s">
        <v>37</v>
      </c>
      <c r="C48" s="57">
        <v>856</v>
      </c>
      <c r="D48" s="52">
        <v>624</v>
      </c>
      <c r="E48" s="53">
        <v>583</v>
      </c>
      <c r="F48" s="53">
        <v>595.1</v>
      </c>
      <c r="G48" s="54">
        <f t="shared" si="0"/>
        <v>2658.1</v>
      </c>
      <c r="H48" s="57">
        <v>899</v>
      </c>
      <c r="I48" s="127">
        <v>925</v>
      </c>
      <c r="J48" s="55"/>
    </row>
    <row r="49" spans="1:27" s="19" customFormat="1" ht="27.75" customHeight="1" x14ac:dyDescent="0.35">
      <c r="A49" s="38"/>
      <c r="B49" s="27" t="s">
        <v>39</v>
      </c>
      <c r="C49" s="33">
        <f>C50+C51+C52+C53</f>
        <v>4979</v>
      </c>
      <c r="D49" s="34">
        <f>D50+D51+D52+D53</f>
        <v>4985.6000000000004</v>
      </c>
      <c r="E49" s="35">
        <f>E50+E51+E52+E53</f>
        <v>5330</v>
      </c>
      <c r="F49" s="35">
        <f>F50+F51+F52+F53</f>
        <v>6008.7</v>
      </c>
      <c r="G49" s="36">
        <f t="shared" si="0"/>
        <v>21303.3</v>
      </c>
      <c r="H49" s="33">
        <f>H50+H51+H52+H53</f>
        <v>4849</v>
      </c>
      <c r="I49" s="124">
        <f>I50+I51+I52+I53</f>
        <v>4897</v>
      </c>
      <c r="J49" s="37"/>
    </row>
    <row r="50" spans="1:27" s="50" customFormat="1" ht="27.75" customHeight="1" x14ac:dyDescent="0.35">
      <c r="A50" s="56"/>
      <c r="B50" s="44" t="s">
        <v>40</v>
      </c>
      <c r="C50" s="57">
        <v>0</v>
      </c>
      <c r="D50" s="52">
        <v>0</v>
      </c>
      <c r="E50" s="53">
        <v>0</v>
      </c>
      <c r="F50" s="53">
        <v>0</v>
      </c>
      <c r="G50" s="54">
        <f t="shared" si="0"/>
        <v>0</v>
      </c>
      <c r="H50" s="57">
        <v>0</v>
      </c>
      <c r="I50" s="127">
        <v>0</v>
      </c>
      <c r="J50" s="55"/>
    </row>
    <row r="51" spans="1:27" s="50" customFormat="1" ht="27.75" customHeight="1" x14ac:dyDescent="0.35">
      <c r="A51" s="56"/>
      <c r="B51" s="44" t="s">
        <v>41</v>
      </c>
      <c r="C51" s="57">
        <v>193</v>
      </c>
      <c r="D51" s="52">
        <v>215</v>
      </c>
      <c r="E51" s="53">
        <v>226</v>
      </c>
      <c r="F51" s="53">
        <v>206</v>
      </c>
      <c r="G51" s="54">
        <f t="shared" si="0"/>
        <v>840</v>
      </c>
      <c r="H51" s="57">
        <v>187</v>
      </c>
      <c r="I51" s="127">
        <v>176</v>
      </c>
      <c r="J51" s="55"/>
    </row>
    <row r="52" spans="1:27" s="50" customFormat="1" ht="27.75" customHeight="1" x14ac:dyDescent="0.35">
      <c r="A52" s="56"/>
      <c r="B52" s="44" t="s">
        <v>42</v>
      </c>
      <c r="C52" s="57">
        <v>3805</v>
      </c>
      <c r="D52" s="52">
        <v>3715</v>
      </c>
      <c r="E52" s="53">
        <v>4151</v>
      </c>
      <c r="F52" s="53">
        <v>3657</v>
      </c>
      <c r="G52" s="54">
        <f t="shared" si="0"/>
        <v>15328</v>
      </c>
      <c r="H52" s="57">
        <v>3685</v>
      </c>
      <c r="I52" s="127">
        <v>3660</v>
      </c>
      <c r="J52" s="55"/>
    </row>
    <row r="53" spans="1:27" s="50" customFormat="1" ht="27.75" customHeight="1" x14ac:dyDescent="0.35">
      <c r="A53" s="56"/>
      <c r="B53" s="44" t="s">
        <v>43</v>
      </c>
      <c r="C53" s="57">
        <f>63+C54</f>
        <v>981</v>
      </c>
      <c r="D53" s="52">
        <f>182+D54</f>
        <v>1055.5999999999999</v>
      </c>
      <c r="E53" s="53">
        <f>138+E54</f>
        <v>953</v>
      </c>
      <c r="F53" s="53">
        <f>1313+F54</f>
        <v>2145.6999999999998</v>
      </c>
      <c r="G53" s="54">
        <f t="shared" si="0"/>
        <v>5135.2999999999993</v>
      </c>
      <c r="H53" s="57">
        <f>13+H54</f>
        <v>977</v>
      </c>
      <c r="I53" s="127">
        <f>37+I54</f>
        <v>1061</v>
      </c>
      <c r="J53" s="55"/>
    </row>
    <row r="54" spans="1:27" s="50" customFormat="1" ht="27.75" customHeight="1" thickBot="1" x14ac:dyDescent="0.4">
      <c r="A54" s="68"/>
      <c r="B54" s="69" t="s">
        <v>37</v>
      </c>
      <c r="C54" s="70">
        <v>918</v>
      </c>
      <c r="D54" s="71">
        <v>873.6</v>
      </c>
      <c r="E54" s="72">
        <v>815</v>
      </c>
      <c r="F54" s="72">
        <v>832.7</v>
      </c>
      <c r="G54" s="73">
        <f t="shared" si="0"/>
        <v>3439.3</v>
      </c>
      <c r="H54" s="70">
        <v>964</v>
      </c>
      <c r="I54" s="139">
        <v>1024</v>
      </c>
      <c r="J54" s="55"/>
    </row>
    <row r="55" spans="1:27" ht="43.5" customHeight="1" x14ac:dyDescent="0.35">
      <c r="A55" s="74" t="s">
        <v>44</v>
      </c>
      <c r="B55" s="50"/>
      <c r="C55" s="75"/>
      <c r="D55" s="75"/>
      <c r="E55" s="75"/>
      <c r="F55" s="76"/>
      <c r="G55" s="75"/>
      <c r="H55" s="77"/>
      <c r="I55" s="78"/>
      <c r="J55" s="79"/>
    </row>
    <row r="56" spans="1:27" ht="28.5" customHeight="1" thickBot="1" x14ac:dyDescent="0.4">
      <c r="A56" s="80"/>
      <c r="C56" s="6"/>
      <c r="D56" s="6"/>
      <c r="E56" s="6"/>
      <c r="F56" s="6"/>
      <c r="H56" s="6" t="s">
        <v>0</v>
      </c>
      <c r="I56" s="78"/>
      <c r="J56" s="79"/>
    </row>
    <row r="57" spans="1:27" s="19" customFormat="1" ht="41.25" customHeight="1" x14ac:dyDescent="0.3">
      <c r="A57" s="156"/>
      <c r="B57" s="158"/>
      <c r="C57" s="150" t="s">
        <v>1</v>
      </c>
      <c r="D57" s="151"/>
      <c r="E57" s="151"/>
      <c r="F57" s="152"/>
      <c r="G57" s="153" t="s">
        <v>1</v>
      </c>
      <c r="H57" s="150" t="s">
        <v>86</v>
      </c>
      <c r="I57" s="155"/>
      <c r="J57" s="7"/>
    </row>
    <row r="58" spans="1:27" s="19" customFormat="1" ht="54.75" customHeight="1" x14ac:dyDescent="0.3">
      <c r="A58" s="157"/>
      <c r="B58" s="159"/>
      <c r="C58" s="9" t="s">
        <v>45</v>
      </c>
      <c r="D58" s="10" t="s">
        <v>46</v>
      </c>
      <c r="E58" s="10" t="s">
        <v>4</v>
      </c>
      <c r="F58" s="10" t="s">
        <v>5</v>
      </c>
      <c r="G58" s="154"/>
      <c r="H58" s="9" t="s">
        <v>45</v>
      </c>
      <c r="I58" s="11" t="s">
        <v>46</v>
      </c>
      <c r="J58" s="7"/>
    </row>
    <row r="59" spans="1:27" s="19" customFormat="1" ht="9.75" customHeight="1" x14ac:dyDescent="0.35">
      <c r="A59" s="12"/>
      <c r="B59" s="81"/>
      <c r="C59" s="82"/>
      <c r="D59" s="83"/>
      <c r="E59" s="83"/>
      <c r="F59" s="84"/>
      <c r="G59" s="85"/>
      <c r="H59" s="18"/>
      <c r="I59" s="123"/>
      <c r="J59" s="18"/>
    </row>
    <row r="60" spans="1:27" s="19" customFormat="1" ht="24.75" customHeight="1" x14ac:dyDescent="0.35">
      <c r="A60" s="86"/>
      <c r="B60" s="27" t="s">
        <v>31</v>
      </c>
      <c r="C60" s="33">
        <f>C61+C62+C64+C66</f>
        <v>-9121</v>
      </c>
      <c r="D60" s="35">
        <f>D61+D62+D64+D66</f>
        <v>-10979.8</v>
      </c>
      <c r="E60" s="35">
        <f>E61+E62+E64+E66</f>
        <v>-10436</v>
      </c>
      <c r="F60" s="35">
        <f>F61+F62+F64+F66</f>
        <v>-11463.692999999999</v>
      </c>
      <c r="G60" s="36">
        <f>C60+D60+E60+F60</f>
        <v>-42000.493000000002</v>
      </c>
      <c r="H60" s="33">
        <f>H61+H62+H64+H66</f>
        <v>-9391.0829999999987</v>
      </c>
      <c r="I60" s="124">
        <f>I61+I62+I64+I66</f>
        <v>-11331</v>
      </c>
      <c r="J60" s="37"/>
    </row>
    <row r="61" spans="1:27" s="19" customFormat="1" ht="24.75" customHeight="1" x14ac:dyDescent="0.35">
      <c r="A61" s="86"/>
      <c r="B61" s="27" t="s">
        <v>47</v>
      </c>
      <c r="C61" s="87">
        <v>-60</v>
      </c>
      <c r="D61" s="88">
        <v>-62</v>
      </c>
      <c r="E61" s="88">
        <v>-57</v>
      </c>
      <c r="F61" s="88">
        <v>-67</v>
      </c>
      <c r="G61" s="89">
        <f t="shared" ref="G61:G121" si="2">C61+D61+E61+F61</f>
        <v>-246</v>
      </c>
      <c r="H61" s="87">
        <v>-62</v>
      </c>
      <c r="I61" s="125">
        <v>-64</v>
      </c>
      <c r="J61" s="90"/>
    </row>
    <row r="62" spans="1:27" s="19" customFormat="1" ht="24.75" customHeight="1" x14ac:dyDescent="0.35">
      <c r="A62" s="86"/>
      <c r="B62" s="27" t="s">
        <v>36</v>
      </c>
      <c r="C62" s="28">
        <f>-523+C63</f>
        <v>-2876</v>
      </c>
      <c r="D62" s="30">
        <f>-1758+D63</f>
        <v>-4750</v>
      </c>
      <c r="E62" s="30">
        <f>-424+E63</f>
        <v>-3995</v>
      </c>
      <c r="F62" s="30">
        <f>-1674+F63</f>
        <v>-5525</v>
      </c>
      <c r="G62" s="31">
        <f t="shared" si="2"/>
        <v>-17146</v>
      </c>
      <c r="H62" s="28">
        <f>-888+H63</f>
        <v>-3288</v>
      </c>
      <c r="I62" s="126">
        <f>-3426+I63</f>
        <v>-5952</v>
      </c>
      <c r="J62" s="32"/>
    </row>
    <row r="63" spans="1:27" s="50" customFormat="1" ht="24.75" customHeight="1" x14ac:dyDescent="0.35">
      <c r="A63" s="91"/>
      <c r="B63" s="44" t="s">
        <v>37</v>
      </c>
      <c r="C63" s="57">
        <v>-2353</v>
      </c>
      <c r="D63" s="53">
        <v>-2992</v>
      </c>
      <c r="E63" s="53">
        <v>-3571</v>
      </c>
      <c r="F63" s="53">
        <v>-3851</v>
      </c>
      <c r="G63" s="54">
        <f t="shared" si="2"/>
        <v>-12767</v>
      </c>
      <c r="H63" s="57">
        <v>-2400</v>
      </c>
      <c r="I63" s="127">
        <v>-2526</v>
      </c>
      <c r="J63" s="55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</row>
    <row r="64" spans="1:27" s="19" customFormat="1" ht="24.75" customHeight="1" x14ac:dyDescent="0.35">
      <c r="A64" s="86"/>
      <c r="B64" s="27" t="s">
        <v>38</v>
      </c>
      <c r="C64" s="28">
        <f>-729+C65</f>
        <v>-3012.5</v>
      </c>
      <c r="D64" s="30">
        <f>-476+D65</f>
        <v>-3317.6</v>
      </c>
      <c r="E64" s="30">
        <f>-341+E65</f>
        <v>-3194</v>
      </c>
      <c r="F64" s="30">
        <f>-423+F65</f>
        <v>-3132.3</v>
      </c>
      <c r="G64" s="31">
        <f t="shared" si="2"/>
        <v>-12656.400000000001</v>
      </c>
      <c r="H64" s="28">
        <f>-611+H65</f>
        <v>-2940</v>
      </c>
      <c r="I64" s="126">
        <f>-286+I65</f>
        <v>-2436</v>
      </c>
      <c r="J64" s="32"/>
    </row>
    <row r="65" spans="1:10" s="50" customFormat="1" ht="24.75" customHeight="1" x14ac:dyDescent="0.35">
      <c r="A65" s="91"/>
      <c r="B65" s="44" t="s">
        <v>37</v>
      </c>
      <c r="C65" s="57">
        <v>-2283.5</v>
      </c>
      <c r="D65" s="53">
        <v>-2841.6</v>
      </c>
      <c r="E65" s="53">
        <v>-2853</v>
      </c>
      <c r="F65" s="53">
        <v>-2709.3</v>
      </c>
      <c r="G65" s="54">
        <f t="shared" si="2"/>
        <v>-10687.400000000001</v>
      </c>
      <c r="H65" s="57">
        <v>-2329</v>
      </c>
      <c r="I65" s="127">
        <v>-2150</v>
      </c>
      <c r="J65" s="55"/>
    </row>
    <row r="66" spans="1:10" s="19" customFormat="1" ht="24.75" customHeight="1" x14ac:dyDescent="0.35">
      <c r="A66" s="86"/>
      <c r="B66" s="27" t="s">
        <v>39</v>
      </c>
      <c r="C66" s="33">
        <f>C67+C68+C69+C70</f>
        <v>-3172.5</v>
      </c>
      <c r="D66" s="35">
        <f>D67+D68+D69+D70</f>
        <v>-2850.2</v>
      </c>
      <c r="E66" s="35">
        <f>E67+E68+E69+E70</f>
        <v>-3190</v>
      </c>
      <c r="F66" s="35">
        <f>F67+F68+F69+F70</f>
        <v>-2739.393</v>
      </c>
      <c r="G66" s="36">
        <f t="shared" si="2"/>
        <v>-11952.093000000001</v>
      </c>
      <c r="H66" s="33">
        <f>H67+H68+H69+H70</f>
        <v>-3101.0829999999996</v>
      </c>
      <c r="I66" s="124">
        <f>I67+I68+I69+I70</f>
        <v>-2879</v>
      </c>
      <c r="J66" s="37"/>
    </row>
    <row r="67" spans="1:10" s="50" customFormat="1" ht="24.75" customHeight="1" x14ac:dyDescent="0.35">
      <c r="A67" s="91"/>
      <c r="B67" s="44" t="s">
        <v>40</v>
      </c>
      <c r="C67" s="57">
        <v>-197</v>
      </c>
      <c r="D67" s="53">
        <v>-132</v>
      </c>
      <c r="E67" s="53">
        <v>-217</v>
      </c>
      <c r="F67" s="53">
        <v>-56</v>
      </c>
      <c r="G67" s="54">
        <f t="shared" si="2"/>
        <v>-602</v>
      </c>
      <c r="H67" s="57">
        <v>-205</v>
      </c>
      <c r="I67" s="127">
        <v>-43</v>
      </c>
      <c r="J67" s="55"/>
    </row>
    <row r="68" spans="1:10" s="50" customFormat="1" ht="24.75" customHeight="1" x14ac:dyDescent="0.35">
      <c r="A68" s="91"/>
      <c r="B68" s="44" t="s">
        <v>41</v>
      </c>
      <c r="C68" s="92">
        <v>-1</v>
      </c>
      <c r="D68" s="93">
        <v>-1</v>
      </c>
      <c r="E68" s="93">
        <v>-1</v>
      </c>
      <c r="F68" s="93">
        <v>-0.29299999999999998</v>
      </c>
      <c r="G68" s="94">
        <f t="shared" si="2"/>
        <v>-3.2930000000000001</v>
      </c>
      <c r="H68" s="92">
        <v>0.217</v>
      </c>
      <c r="I68" s="128">
        <v>0</v>
      </c>
      <c r="J68" s="95"/>
    </row>
    <row r="69" spans="1:10" s="50" customFormat="1" ht="24.75" customHeight="1" x14ac:dyDescent="0.35">
      <c r="A69" s="91"/>
      <c r="B69" s="44" t="s">
        <v>42</v>
      </c>
      <c r="C69" s="57">
        <v>-1642</v>
      </c>
      <c r="D69" s="53">
        <v>-1486</v>
      </c>
      <c r="E69" s="53">
        <v>-1750</v>
      </c>
      <c r="F69" s="53">
        <v>-1489</v>
      </c>
      <c r="G69" s="54">
        <f t="shared" si="2"/>
        <v>-6367</v>
      </c>
      <c r="H69" s="57">
        <v>-1511</v>
      </c>
      <c r="I69" s="127">
        <v>-1475</v>
      </c>
      <c r="J69" s="55"/>
    </row>
    <row r="70" spans="1:10" s="50" customFormat="1" ht="24.75" customHeight="1" x14ac:dyDescent="0.35">
      <c r="A70" s="91"/>
      <c r="B70" s="44" t="s">
        <v>43</v>
      </c>
      <c r="C70" s="57">
        <f>-71+C71</f>
        <v>-1332.5</v>
      </c>
      <c r="D70" s="53">
        <f>-30+D71</f>
        <v>-1231.2</v>
      </c>
      <c r="E70" s="53">
        <f>-101+E71</f>
        <v>-1222</v>
      </c>
      <c r="F70" s="53">
        <f>-49+F71</f>
        <v>-1194.1000000000001</v>
      </c>
      <c r="G70" s="54">
        <f t="shared" si="2"/>
        <v>-4979.8</v>
      </c>
      <c r="H70" s="57">
        <f>-98+H71</f>
        <v>-1385.3</v>
      </c>
      <c r="I70" s="127">
        <f>-11+I71</f>
        <v>-1361</v>
      </c>
      <c r="J70" s="55"/>
    </row>
    <row r="71" spans="1:10" s="50" customFormat="1" ht="24.75" customHeight="1" x14ac:dyDescent="0.35">
      <c r="A71" s="91"/>
      <c r="B71" s="27" t="s">
        <v>37</v>
      </c>
      <c r="C71" s="57">
        <v>-1261.5</v>
      </c>
      <c r="D71" s="53">
        <v>-1201.2</v>
      </c>
      <c r="E71" s="53">
        <v>-1121</v>
      </c>
      <c r="F71" s="53">
        <v>-1145.1000000000001</v>
      </c>
      <c r="G71" s="54">
        <f t="shared" si="2"/>
        <v>-4728.8</v>
      </c>
      <c r="H71" s="57">
        <v>-1287.3</v>
      </c>
      <c r="I71" s="127">
        <v>-1350</v>
      </c>
      <c r="J71" s="55"/>
    </row>
    <row r="72" spans="1:10" s="19" customFormat="1" ht="24.75" customHeight="1" x14ac:dyDescent="0.3">
      <c r="A72" s="86" t="s">
        <v>48</v>
      </c>
      <c r="B72" s="20" t="s">
        <v>49</v>
      </c>
      <c r="C72" s="63">
        <f>C73+C76</f>
        <v>1577</v>
      </c>
      <c r="D72" s="65">
        <f>D73+D76</f>
        <v>548</v>
      </c>
      <c r="E72" s="65">
        <f>E73+E76</f>
        <v>44</v>
      </c>
      <c r="F72" s="65">
        <f>F73+F76</f>
        <v>2090.6999999999998</v>
      </c>
      <c r="G72" s="66">
        <f t="shared" si="2"/>
        <v>4259.7</v>
      </c>
      <c r="H72" s="63">
        <f>H73+H76</f>
        <v>92.569999999999936</v>
      </c>
      <c r="I72" s="129">
        <f>I73+I76</f>
        <v>607</v>
      </c>
      <c r="J72" s="67"/>
    </row>
    <row r="73" spans="1:10" s="19" customFormat="1" ht="24.75" customHeight="1" x14ac:dyDescent="0.35">
      <c r="A73" s="86"/>
      <c r="B73" s="27" t="s">
        <v>20</v>
      </c>
      <c r="C73" s="87">
        <f>C74+C75</f>
        <v>3864</v>
      </c>
      <c r="D73" s="88">
        <f>D74+D75</f>
        <v>2349</v>
      </c>
      <c r="E73" s="88">
        <f>E74+E75</f>
        <v>1369</v>
      </c>
      <c r="F73" s="88">
        <f>F74+F75</f>
        <v>3923</v>
      </c>
      <c r="G73" s="89">
        <f t="shared" si="2"/>
        <v>11505</v>
      </c>
      <c r="H73" s="87">
        <f>H74+H75</f>
        <v>1521</v>
      </c>
      <c r="I73" s="125">
        <f>I74+I75</f>
        <v>2096</v>
      </c>
      <c r="J73" s="90"/>
    </row>
    <row r="74" spans="1:10" s="19" customFormat="1" ht="24.75" customHeight="1" x14ac:dyDescent="0.35">
      <c r="A74" s="86"/>
      <c r="B74" s="27" t="s">
        <v>50</v>
      </c>
      <c r="C74" s="33">
        <v>3737</v>
      </c>
      <c r="D74" s="35">
        <v>2269</v>
      </c>
      <c r="E74" s="35">
        <v>1284</v>
      </c>
      <c r="F74" s="35">
        <v>1501</v>
      </c>
      <c r="G74" s="36">
        <f t="shared" si="2"/>
        <v>8791</v>
      </c>
      <c r="H74" s="33">
        <v>1439</v>
      </c>
      <c r="I74" s="124">
        <v>2005</v>
      </c>
      <c r="J74" s="37"/>
    </row>
    <row r="75" spans="1:10" s="19" customFormat="1" ht="24.75" customHeight="1" x14ac:dyDescent="0.35">
      <c r="A75" s="86"/>
      <c r="B75" s="27" t="s">
        <v>51</v>
      </c>
      <c r="C75" s="87">
        <v>127</v>
      </c>
      <c r="D75" s="88">
        <v>80</v>
      </c>
      <c r="E75" s="88">
        <v>85</v>
      </c>
      <c r="F75" s="88">
        <v>2422</v>
      </c>
      <c r="G75" s="89">
        <f t="shared" si="2"/>
        <v>2714</v>
      </c>
      <c r="H75" s="87">
        <v>82</v>
      </c>
      <c r="I75" s="125">
        <v>91</v>
      </c>
      <c r="J75" s="90"/>
    </row>
    <row r="76" spans="1:10" s="19" customFormat="1" ht="24.75" customHeight="1" x14ac:dyDescent="0.35">
      <c r="A76" s="86"/>
      <c r="B76" s="27" t="s">
        <v>31</v>
      </c>
      <c r="C76" s="87">
        <f>C77+C78</f>
        <v>-2287</v>
      </c>
      <c r="D76" s="88">
        <f>D77+D78</f>
        <v>-1801</v>
      </c>
      <c r="E76" s="88">
        <f>E77+E78</f>
        <v>-1325</v>
      </c>
      <c r="F76" s="88">
        <f>F77+F78</f>
        <v>-1832.3</v>
      </c>
      <c r="G76" s="89">
        <f t="shared" si="2"/>
        <v>-7245.3</v>
      </c>
      <c r="H76" s="87">
        <f>H77+H78</f>
        <v>-1428.43</v>
      </c>
      <c r="I76" s="125">
        <f>I77+I78</f>
        <v>-1489</v>
      </c>
      <c r="J76" s="90"/>
    </row>
    <row r="77" spans="1:10" s="19" customFormat="1" ht="24.75" customHeight="1" x14ac:dyDescent="0.35">
      <c r="A77" s="86"/>
      <c r="B77" s="27" t="s">
        <v>50</v>
      </c>
      <c r="C77" s="96">
        <v>-2198</v>
      </c>
      <c r="D77" s="37">
        <v>-1702</v>
      </c>
      <c r="E77" s="35">
        <v>-1220</v>
      </c>
      <c r="F77" s="35">
        <v>-1676</v>
      </c>
      <c r="G77" s="36">
        <f t="shared" si="2"/>
        <v>-6796</v>
      </c>
      <c r="H77" s="33">
        <v>-1295</v>
      </c>
      <c r="I77" s="124">
        <v>-1391</v>
      </c>
      <c r="J77" s="37"/>
    </row>
    <row r="78" spans="1:10" s="19" customFormat="1" ht="24.75" customHeight="1" x14ac:dyDescent="0.35">
      <c r="A78" s="86"/>
      <c r="B78" s="27" t="s">
        <v>51</v>
      </c>
      <c r="C78" s="87">
        <f>-8+C79</f>
        <v>-89</v>
      </c>
      <c r="D78" s="88">
        <f>-3+D79</f>
        <v>-99</v>
      </c>
      <c r="E78" s="88">
        <f>-4+E79</f>
        <v>-105</v>
      </c>
      <c r="F78" s="88">
        <f>-65+F79</f>
        <v>-156.30000000000001</v>
      </c>
      <c r="G78" s="89">
        <f t="shared" si="2"/>
        <v>-449.3</v>
      </c>
      <c r="H78" s="87">
        <f>-50+H79</f>
        <v>-133.43</v>
      </c>
      <c r="I78" s="125">
        <f>-23+I79</f>
        <v>-98</v>
      </c>
      <c r="J78" s="90"/>
    </row>
    <row r="79" spans="1:10" s="19" customFormat="1" ht="24.75" customHeight="1" x14ac:dyDescent="0.35">
      <c r="A79" s="86"/>
      <c r="B79" s="44" t="s">
        <v>37</v>
      </c>
      <c r="C79" s="87">
        <v>-81</v>
      </c>
      <c r="D79" s="88">
        <v>-96</v>
      </c>
      <c r="E79" s="88">
        <v>-101</v>
      </c>
      <c r="F79" s="88">
        <v>-91.300000000000011</v>
      </c>
      <c r="G79" s="89">
        <f t="shared" si="2"/>
        <v>-369.3</v>
      </c>
      <c r="H79" s="121">
        <f>1.03*C79</f>
        <v>-83.43</v>
      </c>
      <c r="I79" s="130">
        <v>-75</v>
      </c>
      <c r="J79" s="97"/>
    </row>
    <row r="80" spans="1:10" s="19" customFormat="1" ht="24.75" customHeight="1" x14ac:dyDescent="0.3">
      <c r="A80" s="86" t="s">
        <v>52</v>
      </c>
      <c r="B80" s="20" t="s">
        <v>53</v>
      </c>
      <c r="C80" s="98">
        <f>C81+C83</f>
        <v>5556.5</v>
      </c>
      <c r="D80" s="99">
        <f>D81+D83</f>
        <v>10099.800000000017</v>
      </c>
      <c r="E80" s="99">
        <f>E81+E83</f>
        <v>8763.9480727850387</v>
      </c>
      <c r="F80" s="99">
        <f>F81+F83</f>
        <v>13495.499999999942</v>
      </c>
      <c r="G80" s="100">
        <f t="shared" si="2"/>
        <v>37915.748072784998</v>
      </c>
      <c r="H80" s="98">
        <f>H81+H83</f>
        <v>8233.3000000000029</v>
      </c>
      <c r="I80" s="131">
        <f>I81+I83</f>
        <v>5022</v>
      </c>
      <c r="J80" s="101"/>
    </row>
    <row r="81" spans="1:10" s="19" customFormat="1" ht="24.75" customHeight="1" x14ac:dyDescent="0.3">
      <c r="A81" s="86" t="s">
        <v>54</v>
      </c>
      <c r="B81" s="20" t="s">
        <v>55</v>
      </c>
      <c r="C81" s="98">
        <f>C82</f>
        <v>-40</v>
      </c>
      <c r="D81" s="102">
        <f>D82</f>
        <v>-73</v>
      </c>
      <c r="E81" s="99">
        <f>E82</f>
        <v>-45</v>
      </c>
      <c r="F81" s="99">
        <f>F82</f>
        <v>-83</v>
      </c>
      <c r="G81" s="100">
        <f t="shared" si="2"/>
        <v>-241</v>
      </c>
      <c r="H81" s="98">
        <f>H82</f>
        <v>-7</v>
      </c>
      <c r="I81" s="131">
        <f>I82</f>
        <v>-48</v>
      </c>
      <c r="J81" s="101"/>
    </row>
    <row r="82" spans="1:10" s="50" customFormat="1" ht="24.75" customHeight="1" x14ac:dyDescent="0.35">
      <c r="A82" s="91"/>
      <c r="B82" s="44" t="s">
        <v>56</v>
      </c>
      <c r="C82" s="92">
        <v>-40</v>
      </c>
      <c r="D82" s="93">
        <v>-73</v>
      </c>
      <c r="E82" s="93">
        <v>-45</v>
      </c>
      <c r="F82" s="93">
        <v>-83</v>
      </c>
      <c r="G82" s="94">
        <f t="shared" si="2"/>
        <v>-241</v>
      </c>
      <c r="H82" s="92">
        <v>-7</v>
      </c>
      <c r="I82" s="128">
        <v>-48</v>
      </c>
      <c r="J82" s="95"/>
    </row>
    <row r="83" spans="1:10" s="19" customFormat="1" ht="24.75" customHeight="1" x14ac:dyDescent="0.3">
      <c r="A83" s="86" t="s">
        <v>57</v>
      </c>
      <c r="B83" s="20" t="s">
        <v>58</v>
      </c>
      <c r="C83" s="63">
        <f>C84+C89+C100+C115</f>
        <v>5596.5</v>
      </c>
      <c r="D83" s="65">
        <f>D84+D89+D100+D115</f>
        <v>10172.800000000017</v>
      </c>
      <c r="E83" s="65">
        <f>E84+E89+E100+E115</f>
        <v>8808.9480727850387</v>
      </c>
      <c r="F83" s="65">
        <f>F84+F89+F100+F115</f>
        <v>13578.499999999942</v>
      </c>
      <c r="G83" s="66">
        <f t="shared" si="2"/>
        <v>38156.748072784998</v>
      </c>
      <c r="H83" s="98">
        <f>H84+H89+H100+H115</f>
        <v>8240.3000000000029</v>
      </c>
      <c r="I83" s="131">
        <f>I84+I89+I100+I115</f>
        <v>5070</v>
      </c>
      <c r="J83" s="101"/>
    </row>
    <row r="84" spans="1:10" s="26" customFormat="1" ht="24.75" customHeight="1" x14ac:dyDescent="0.3">
      <c r="A84" s="86"/>
      <c r="B84" s="20" t="s">
        <v>59</v>
      </c>
      <c r="C84" s="98">
        <f>C85+C87</f>
        <v>18601</v>
      </c>
      <c r="D84" s="99">
        <f>D85+D87</f>
        <v>-56470.599999999977</v>
      </c>
      <c r="E84" s="99">
        <f>E85+E87</f>
        <v>-543</v>
      </c>
      <c r="F84" s="99">
        <f>F85+F87</f>
        <v>21094.999999999942</v>
      </c>
      <c r="G84" s="100">
        <f t="shared" si="2"/>
        <v>-17317.600000000035</v>
      </c>
      <c r="H84" s="98">
        <f>H85+H87</f>
        <v>-26478</v>
      </c>
      <c r="I84" s="131">
        <f>I85+I87</f>
        <v>-26481</v>
      </c>
      <c r="J84" s="101"/>
    </row>
    <row r="85" spans="1:10" s="19" customFormat="1" ht="24.75" customHeight="1" x14ac:dyDescent="0.35">
      <c r="A85" s="86"/>
      <c r="B85" s="27" t="s">
        <v>60</v>
      </c>
      <c r="C85" s="28">
        <f>-656+C86</f>
        <v>-549773</v>
      </c>
      <c r="D85" s="30">
        <f>-646+D86</f>
        <v>-523615.6</v>
      </c>
      <c r="E85" s="30">
        <f>-551+E86</f>
        <v>-488656</v>
      </c>
      <c r="F85" s="30">
        <f>-807+F86</f>
        <v>-499371.00000000006</v>
      </c>
      <c r="G85" s="31">
        <f t="shared" si="2"/>
        <v>-2061415.6</v>
      </c>
      <c r="H85" s="28">
        <f>-612+H86</f>
        <v>-532580</v>
      </c>
      <c r="I85" s="126">
        <f>-1066+I86</f>
        <v>-530422</v>
      </c>
      <c r="J85" s="32"/>
    </row>
    <row r="86" spans="1:10" s="50" customFormat="1" ht="24.75" customHeight="1" x14ac:dyDescent="0.35">
      <c r="A86" s="91"/>
      <c r="B86" s="44" t="s">
        <v>37</v>
      </c>
      <c r="C86" s="57">
        <v>-549117</v>
      </c>
      <c r="D86" s="53">
        <v>-522969.59999999998</v>
      </c>
      <c r="E86" s="53">
        <v>-488105</v>
      </c>
      <c r="F86" s="53">
        <v>-498564.00000000006</v>
      </c>
      <c r="G86" s="54">
        <f t="shared" si="2"/>
        <v>-2058755.6</v>
      </c>
      <c r="H86" s="57">
        <v>-531968</v>
      </c>
      <c r="I86" s="127">
        <v>-529356</v>
      </c>
      <c r="J86" s="55"/>
    </row>
    <row r="87" spans="1:10" s="19" customFormat="1" ht="24.75" customHeight="1" x14ac:dyDescent="0.35">
      <c r="A87" s="86"/>
      <c r="B87" s="27" t="s">
        <v>61</v>
      </c>
      <c r="C87" s="33">
        <f>1420+C88</f>
        <v>568374</v>
      </c>
      <c r="D87" s="35">
        <f>2007+D88</f>
        <v>467145</v>
      </c>
      <c r="E87" s="35">
        <f>1193+E88</f>
        <v>488113</v>
      </c>
      <c r="F87" s="35">
        <f>6226+F88</f>
        <v>520466</v>
      </c>
      <c r="G87" s="36">
        <f t="shared" si="2"/>
        <v>2044098</v>
      </c>
      <c r="H87" s="33">
        <f>2198+H88</f>
        <v>506102</v>
      </c>
      <c r="I87" s="124">
        <f>2830+I88-1094</f>
        <v>503941</v>
      </c>
      <c r="J87" s="37"/>
    </row>
    <row r="88" spans="1:10" s="50" customFormat="1" ht="24.75" customHeight="1" x14ac:dyDescent="0.35">
      <c r="A88" s="91"/>
      <c r="B88" s="44" t="s">
        <v>37</v>
      </c>
      <c r="C88" s="45">
        <v>566954</v>
      </c>
      <c r="D88" s="47">
        <v>465138</v>
      </c>
      <c r="E88" s="47">
        <v>486920</v>
      </c>
      <c r="F88" s="47">
        <v>514240</v>
      </c>
      <c r="G88" s="48">
        <f t="shared" si="2"/>
        <v>2033252</v>
      </c>
      <c r="H88" s="45">
        <v>503904</v>
      </c>
      <c r="I88" s="132">
        <v>502205</v>
      </c>
      <c r="J88" s="49"/>
    </row>
    <row r="89" spans="1:10" s="19" customFormat="1" ht="24.75" customHeight="1" x14ac:dyDescent="0.3">
      <c r="A89" s="86"/>
      <c r="B89" s="20" t="s">
        <v>62</v>
      </c>
      <c r="C89" s="98">
        <f>C90+C95</f>
        <v>79773.5</v>
      </c>
      <c r="D89" s="99">
        <f>D90+D95+1</f>
        <v>80318.2</v>
      </c>
      <c r="E89" s="99">
        <f>E90+E95</f>
        <v>73378</v>
      </c>
      <c r="F89" s="99">
        <f>F90+F95</f>
        <v>71771.600000000006</v>
      </c>
      <c r="G89" s="100">
        <f t="shared" si="2"/>
        <v>305241.30000000005</v>
      </c>
      <c r="H89" s="98">
        <f>H90+H95</f>
        <v>80244.800000000003</v>
      </c>
      <c r="I89" s="131">
        <f>I90+I95</f>
        <v>82837</v>
      </c>
      <c r="J89" s="101"/>
    </row>
    <row r="90" spans="1:10" s="19" customFormat="1" ht="24.75" customHeight="1" x14ac:dyDescent="0.3">
      <c r="A90" s="86"/>
      <c r="B90" s="20" t="s">
        <v>63</v>
      </c>
      <c r="C90" s="98">
        <f>C91+C93</f>
        <v>29778.5</v>
      </c>
      <c r="D90" s="99">
        <f>D91+D93</f>
        <v>31067.8</v>
      </c>
      <c r="E90" s="99">
        <f>E91+E93</f>
        <v>27951</v>
      </c>
      <c r="F90" s="99">
        <f>F91+F93</f>
        <v>27932.300000000003</v>
      </c>
      <c r="G90" s="100">
        <f t="shared" si="2"/>
        <v>116729.60000000001</v>
      </c>
      <c r="H90" s="98">
        <f>H91+H93</f>
        <v>34117.800000000003</v>
      </c>
      <c r="I90" s="131">
        <f>I91+I93</f>
        <v>34024</v>
      </c>
      <c r="J90" s="101"/>
    </row>
    <row r="91" spans="1:10" s="19" customFormat="1" ht="24.75" customHeight="1" x14ac:dyDescent="0.35">
      <c r="A91" s="86"/>
      <c r="B91" s="27" t="s">
        <v>64</v>
      </c>
      <c r="C91" s="28">
        <f>-1228+C92</f>
        <v>50028.5</v>
      </c>
      <c r="D91" s="30">
        <f>1537+D92</f>
        <v>50353</v>
      </c>
      <c r="E91" s="30">
        <f>390+E92</f>
        <v>45951</v>
      </c>
      <c r="F91" s="30">
        <f>-220+F92</f>
        <v>46317.700000000004</v>
      </c>
      <c r="G91" s="31">
        <f t="shared" si="2"/>
        <v>192650.2</v>
      </c>
      <c r="H91" s="28">
        <f>1986.4+H92</f>
        <v>50664.800000000003</v>
      </c>
      <c r="I91" s="126">
        <f>499+I92</f>
        <v>49749</v>
      </c>
      <c r="J91" s="32"/>
    </row>
    <row r="92" spans="1:10" s="50" customFormat="1" ht="24.75" customHeight="1" x14ac:dyDescent="0.35">
      <c r="A92" s="91"/>
      <c r="B92" s="44" t="s">
        <v>37</v>
      </c>
      <c r="C92" s="57">
        <v>51256.5</v>
      </c>
      <c r="D92" s="53">
        <v>48816</v>
      </c>
      <c r="E92" s="53">
        <v>45561</v>
      </c>
      <c r="F92" s="53">
        <v>46537.700000000004</v>
      </c>
      <c r="G92" s="54">
        <f t="shared" si="2"/>
        <v>192171.2</v>
      </c>
      <c r="H92" s="57">
        <v>48678.400000000001</v>
      </c>
      <c r="I92" s="127">
        <v>49250</v>
      </c>
      <c r="J92" s="55"/>
    </row>
    <row r="93" spans="1:10" s="19" customFormat="1" ht="24.75" customHeight="1" x14ac:dyDescent="0.35">
      <c r="A93" s="86"/>
      <c r="B93" s="27" t="s">
        <v>65</v>
      </c>
      <c r="C93" s="28">
        <f>C94</f>
        <v>-20250</v>
      </c>
      <c r="D93" s="30">
        <f>0+D94</f>
        <v>-19285.2</v>
      </c>
      <c r="E93" s="30">
        <f>0+E94</f>
        <v>-18000</v>
      </c>
      <c r="F93" s="30">
        <f>F94</f>
        <v>-18385.400000000001</v>
      </c>
      <c r="G93" s="31">
        <f t="shared" si="2"/>
        <v>-75920.600000000006</v>
      </c>
      <c r="H93" s="28">
        <f>H94</f>
        <v>-16547</v>
      </c>
      <c r="I93" s="126">
        <f>I94</f>
        <v>-15725</v>
      </c>
      <c r="J93" s="32"/>
    </row>
    <row r="94" spans="1:10" s="50" customFormat="1" ht="24.75" customHeight="1" x14ac:dyDescent="0.35">
      <c r="A94" s="91"/>
      <c r="B94" s="44" t="s">
        <v>37</v>
      </c>
      <c r="C94" s="57">
        <v>-20250</v>
      </c>
      <c r="D94" s="53">
        <v>-19285.2</v>
      </c>
      <c r="E94" s="53">
        <v>-18000</v>
      </c>
      <c r="F94" s="53">
        <v>-18385.400000000001</v>
      </c>
      <c r="G94" s="54">
        <f t="shared" si="2"/>
        <v>-75920.600000000006</v>
      </c>
      <c r="H94" s="57">
        <v>-16547</v>
      </c>
      <c r="I94" s="127">
        <v>-15725</v>
      </c>
      <c r="J94" s="55"/>
    </row>
    <row r="95" spans="1:10" s="19" customFormat="1" ht="24.75" customHeight="1" x14ac:dyDescent="0.3">
      <c r="A95" s="86"/>
      <c r="B95" s="20" t="s">
        <v>66</v>
      </c>
      <c r="C95" s="98">
        <f>C96+C98</f>
        <v>49995</v>
      </c>
      <c r="D95" s="99">
        <f>D96+D98</f>
        <v>49249.4</v>
      </c>
      <c r="E95" s="99">
        <f>E96+E98</f>
        <v>45427</v>
      </c>
      <c r="F95" s="99">
        <f>F96+F98</f>
        <v>43839.3</v>
      </c>
      <c r="G95" s="100">
        <f t="shared" si="2"/>
        <v>188510.7</v>
      </c>
      <c r="H95" s="98">
        <f>H96+H98</f>
        <v>46127</v>
      </c>
      <c r="I95" s="131">
        <f>I96+I98</f>
        <v>48813</v>
      </c>
      <c r="J95" s="101"/>
    </row>
    <row r="96" spans="1:10" s="19" customFormat="1" ht="24.75" customHeight="1" x14ac:dyDescent="0.35">
      <c r="A96" s="86"/>
      <c r="B96" s="27" t="s">
        <v>64</v>
      </c>
      <c r="C96" s="28">
        <f>621+C97</f>
        <v>54379.5</v>
      </c>
      <c r="D96" s="30">
        <f>176+D97</f>
        <v>51374</v>
      </c>
      <c r="E96" s="30">
        <f>E97+2020</f>
        <v>49805</v>
      </c>
      <c r="F96" s="30">
        <f>-768+F97</f>
        <v>48041.200000000004</v>
      </c>
      <c r="G96" s="31">
        <f t="shared" si="2"/>
        <v>203599.7</v>
      </c>
      <c r="H96" s="28">
        <f>2+H97</f>
        <v>50419</v>
      </c>
      <c r="I96" s="126">
        <f>1758+I97</f>
        <v>53286</v>
      </c>
      <c r="J96" s="32"/>
    </row>
    <row r="97" spans="1:27" s="50" customFormat="1" ht="24.75" customHeight="1" x14ac:dyDescent="0.35">
      <c r="A97" s="91"/>
      <c r="B97" s="44" t="s">
        <v>37</v>
      </c>
      <c r="C97" s="57">
        <v>53758.5</v>
      </c>
      <c r="D97" s="53">
        <v>51198</v>
      </c>
      <c r="E97" s="53">
        <v>47785</v>
      </c>
      <c r="F97" s="53">
        <v>48809.200000000004</v>
      </c>
      <c r="G97" s="54">
        <f t="shared" si="2"/>
        <v>201550.7</v>
      </c>
      <c r="H97" s="57">
        <v>50417</v>
      </c>
      <c r="I97" s="127">
        <f>51528</f>
        <v>51528</v>
      </c>
      <c r="J97" s="55"/>
    </row>
    <row r="98" spans="1:27" s="19" customFormat="1" ht="24.75" customHeight="1" x14ac:dyDescent="0.35">
      <c r="A98" s="86"/>
      <c r="B98" s="27" t="s">
        <v>65</v>
      </c>
      <c r="C98" s="28">
        <f>60+C99</f>
        <v>-4384.5</v>
      </c>
      <c r="D98" s="30">
        <f>2109+D99</f>
        <v>-2124.5999999999995</v>
      </c>
      <c r="E98" s="30">
        <f>-427+E99</f>
        <v>-4378</v>
      </c>
      <c r="F98" s="30">
        <f>-166+F99</f>
        <v>-4201.9000000000005</v>
      </c>
      <c r="G98" s="31">
        <f t="shared" si="2"/>
        <v>-15089</v>
      </c>
      <c r="H98" s="28">
        <f>-175+H99</f>
        <v>-4292</v>
      </c>
      <c r="I98" s="126">
        <f>-115+I99</f>
        <v>-4473</v>
      </c>
      <c r="J98" s="32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</row>
    <row r="99" spans="1:27" s="50" customFormat="1" ht="24.75" customHeight="1" x14ac:dyDescent="0.35">
      <c r="A99" s="91"/>
      <c r="B99" s="44" t="s">
        <v>37</v>
      </c>
      <c r="C99" s="57">
        <v>-4444.5</v>
      </c>
      <c r="D99" s="53">
        <v>-4233.5999999999995</v>
      </c>
      <c r="E99" s="53">
        <v>-3951</v>
      </c>
      <c r="F99" s="53">
        <v>-4035.9000000000005</v>
      </c>
      <c r="G99" s="54">
        <f t="shared" si="2"/>
        <v>-16665</v>
      </c>
      <c r="H99" s="57">
        <v>-4117</v>
      </c>
      <c r="I99" s="127">
        <v>-4358</v>
      </c>
      <c r="J99" s="55"/>
    </row>
    <row r="100" spans="1:27" s="19" customFormat="1" ht="24.75" customHeight="1" x14ac:dyDescent="0.3">
      <c r="A100" s="86"/>
      <c r="B100" s="20" t="s">
        <v>67</v>
      </c>
      <c r="C100" s="98">
        <f>C101+C108</f>
        <v>-94392</v>
      </c>
      <c r="D100" s="99">
        <f>D101+D108</f>
        <v>-10704.800000000003</v>
      </c>
      <c r="E100" s="99">
        <f>E101+E108</f>
        <v>-62921.051927214961</v>
      </c>
      <c r="F100" s="99">
        <f>F101+F108</f>
        <v>-75708.100000000006</v>
      </c>
      <c r="G100" s="100">
        <f t="shared" si="2"/>
        <v>-243725.95192721498</v>
      </c>
      <c r="H100" s="98">
        <f>H101+H108</f>
        <v>-40522.5</v>
      </c>
      <c r="I100" s="131">
        <f>I101+I108</f>
        <v>-40640</v>
      </c>
      <c r="J100" s="101"/>
    </row>
    <row r="101" spans="1:27" s="19" customFormat="1" ht="24.75" customHeight="1" x14ac:dyDescent="0.3">
      <c r="A101" s="86"/>
      <c r="B101" s="20" t="s">
        <v>68</v>
      </c>
      <c r="C101" s="98">
        <f>C102+C103+C104+C105+C107</f>
        <v>-45376.5</v>
      </c>
      <c r="D101" s="99">
        <f>D102+D103+D104+D105+D107</f>
        <v>48702.2</v>
      </c>
      <c r="E101" s="99">
        <f>E102+E103+E104+E105+E107</f>
        <v>30321.048797338175</v>
      </c>
      <c r="F101" s="99">
        <f>F102+F103+F104+F105+F107</f>
        <v>70228.5</v>
      </c>
      <c r="G101" s="100">
        <f t="shared" si="2"/>
        <v>103875.24879733816</v>
      </c>
      <c r="H101" s="98">
        <f>H102+H103+H104+H105+H107</f>
        <v>4479.5000000000009</v>
      </c>
      <c r="I101" s="131">
        <f>I102+I103+I104+I105+I107</f>
        <v>30076</v>
      </c>
      <c r="J101" s="101"/>
    </row>
    <row r="102" spans="1:27" s="19" customFormat="1" ht="24.75" customHeight="1" x14ac:dyDescent="0.35">
      <c r="A102" s="86"/>
      <c r="B102" s="27" t="s">
        <v>69</v>
      </c>
      <c r="C102" s="87">
        <v>0</v>
      </c>
      <c r="D102" s="88">
        <v>0</v>
      </c>
      <c r="E102" s="88">
        <v>0</v>
      </c>
      <c r="F102" s="88">
        <v>0</v>
      </c>
      <c r="G102" s="89">
        <f t="shared" si="2"/>
        <v>0</v>
      </c>
      <c r="H102" s="87">
        <v>0</v>
      </c>
      <c r="I102" s="125">
        <v>0</v>
      </c>
      <c r="J102" s="90"/>
    </row>
    <row r="103" spans="1:27" s="19" customFormat="1" ht="24.75" customHeight="1" x14ac:dyDescent="0.35">
      <c r="A103" s="86"/>
      <c r="B103" s="27" t="s">
        <v>70</v>
      </c>
      <c r="C103" s="87">
        <v>0</v>
      </c>
      <c r="D103" s="88">
        <v>0</v>
      </c>
      <c r="E103" s="88">
        <v>0</v>
      </c>
      <c r="F103" s="88">
        <v>0</v>
      </c>
      <c r="G103" s="89">
        <f t="shared" si="2"/>
        <v>0</v>
      </c>
      <c r="H103" s="87">
        <v>0</v>
      </c>
      <c r="I103" s="125">
        <v>0</v>
      </c>
      <c r="J103" s="90"/>
    </row>
    <row r="104" spans="1:27" s="19" customFormat="1" ht="24.75" customHeight="1" x14ac:dyDescent="0.35">
      <c r="A104" s="86"/>
      <c r="B104" s="27" t="s">
        <v>71</v>
      </c>
      <c r="C104" s="58">
        <v>-81321</v>
      </c>
      <c r="D104" s="60">
        <v>14025</v>
      </c>
      <c r="E104" s="60">
        <v>-2584.9512026618254</v>
      </c>
      <c r="F104" s="60">
        <v>39076</v>
      </c>
      <c r="G104" s="61">
        <f t="shared" si="2"/>
        <v>-30804.951202661832</v>
      </c>
      <c r="H104" s="58">
        <v>-28696.3</v>
      </c>
      <c r="I104" s="133">
        <v>-4949</v>
      </c>
      <c r="J104" s="62"/>
    </row>
    <row r="105" spans="1:27" s="19" customFormat="1" ht="24.75" customHeight="1" x14ac:dyDescent="0.35">
      <c r="A105" s="86"/>
      <c r="B105" s="27" t="s">
        <v>72</v>
      </c>
      <c r="C105" s="28">
        <f>C106</f>
        <v>36037.5</v>
      </c>
      <c r="D105" s="30">
        <f>D106</f>
        <v>34321.199999999997</v>
      </c>
      <c r="E105" s="30">
        <f>0+E106</f>
        <v>32033</v>
      </c>
      <c r="F105" s="30">
        <f>F106</f>
        <v>32719.500000000004</v>
      </c>
      <c r="G105" s="31">
        <f t="shared" si="2"/>
        <v>135111.20000000001</v>
      </c>
      <c r="H105" s="28">
        <f>H106</f>
        <v>33374</v>
      </c>
      <c r="I105" s="126">
        <f>I106</f>
        <v>34780</v>
      </c>
      <c r="J105" s="32"/>
    </row>
    <row r="106" spans="1:27" s="50" customFormat="1" ht="24.75" customHeight="1" x14ac:dyDescent="0.35">
      <c r="A106" s="91"/>
      <c r="B106" s="44" t="s">
        <v>37</v>
      </c>
      <c r="C106" s="57">
        <v>36037.5</v>
      </c>
      <c r="D106" s="53">
        <v>34321.199999999997</v>
      </c>
      <c r="E106" s="53">
        <v>32033</v>
      </c>
      <c r="F106" s="53">
        <v>32719.500000000004</v>
      </c>
      <c r="G106" s="54">
        <f t="shared" si="2"/>
        <v>135111.20000000001</v>
      </c>
      <c r="H106" s="57">
        <v>33374</v>
      </c>
      <c r="I106" s="127">
        <v>34780</v>
      </c>
      <c r="J106" s="55"/>
    </row>
    <row r="107" spans="1:27" s="19" customFormat="1" ht="24.75" customHeight="1" x14ac:dyDescent="0.35">
      <c r="A107" s="86"/>
      <c r="B107" s="27" t="s">
        <v>73</v>
      </c>
      <c r="C107" s="87">
        <v>-93</v>
      </c>
      <c r="D107" s="88">
        <v>356</v>
      </c>
      <c r="E107" s="88">
        <v>873</v>
      </c>
      <c r="F107" s="88">
        <v>-1567</v>
      </c>
      <c r="G107" s="89">
        <f t="shared" si="2"/>
        <v>-431</v>
      </c>
      <c r="H107" s="87">
        <v>-198.2</v>
      </c>
      <c r="I107" s="125">
        <v>245</v>
      </c>
      <c r="J107" s="90"/>
    </row>
    <row r="108" spans="1:27" s="19" customFormat="1" ht="24.75" customHeight="1" x14ac:dyDescent="0.3">
      <c r="A108" s="86"/>
      <c r="B108" s="20" t="s">
        <v>66</v>
      </c>
      <c r="C108" s="98">
        <f>C109+C110+C111+C112+C114</f>
        <v>-49015.5</v>
      </c>
      <c r="D108" s="99">
        <f>D109+D110+D111+D112+D114</f>
        <v>-59407</v>
      </c>
      <c r="E108" s="99">
        <f>E109+E110+E111+E112+E114</f>
        <v>-93242.100724553136</v>
      </c>
      <c r="F108" s="99">
        <f>F109+F110+F111+F112+F114</f>
        <v>-145936.6</v>
      </c>
      <c r="G108" s="100">
        <f t="shared" si="2"/>
        <v>-347601.20072455314</v>
      </c>
      <c r="H108" s="98">
        <f>H109+H110+H111+H112+H114</f>
        <v>-45002</v>
      </c>
      <c r="I108" s="131">
        <f>I109+I110+I111+I112+I114</f>
        <v>-70716</v>
      </c>
      <c r="J108" s="101"/>
    </row>
    <row r="109" spans="1:27" s="19" customFormat="1" ht="24.75" customHeight="1" x14ac:dyDescent="0.35">
      <c r="A109" s="86"/>
      <c r="B109" s="27" t="s">
        <v>69</v>
      </c>
      <c r="C109" s="87">
        <v>76</v>
      </c>
      <c r="D109" s="88">
        <v>562</v>
      </c>
      <c r="E109" s="88">
        <v>1599</v>
      </c>
      <c r="F109" s="88">
        <v>545</v>
      </c>
      <c r="G109" s="89">
        <f t="shared" si="2"/>
        <v>2782</v>
      </c>
      <c r="H109" s="87">
        <v>922</v>
      </c>
      <c r="I109" s="125">
        <v>4515</v>
      </c>
      <c r="J109" s="90"/>
    </row>
    <row r="110" spans="1:27" s="19" customFormat="1" ht="24.75" customHeight="1" x14ac:dyDescent="0.35">
      <c r="A110" s="86"/>
      <c r="B110" s="27" t="s">
        <v>70</v>
      </c>
      <c r="C110" s="87">
        <v>0</v>
      </c>
      <c r="D110" s="88">
        <v>0</v>
      </c>
      <c r="E110" s="88">
        <v>0</v>
      </c>
      <c r="F110" s="88">
        <v>0</v>
      </c>
      <c r="G110" s="89">
        <f t="shared" si="2"/>
        <v>0</v>
      </c>
      <c r="H110" s="87">
        <v>0</v>
      </c>
      <c r="I110" s="125">
        <v>0</v>
      </c>
      <c r="J110" s="90"/>
    </row>
    <row r="111" spans="1:27" s="19" customFormat="1" ht="24.75" customHeight="1" x14ac:dyDescent="0.35">
      <c r="A111" s="86"/>
      <c r="B111" s="27" t="s">
        <v>71</v>
      </c>
      <c r="C111" s="28">
        <v>47592</v>
      </c>
      <c r="D111" s="30">
        <v>31011</v>
      </c>
      <c r="E111" s="30">
        <v>-10604.100724553131</v>
      </c>
      <c r="F111" s="30">
        <v>-62165</v>
      </c>
      <c r="G111" s="31">
        <f t="shared" si="2"/>
        <v>5833.8992754468636</v>
      </c>
      <c r="H111" s="28">
        <v>40217</v>
      </c>
      <c r="I111" s="126">
        <v>13867</v>
      </c>
      <c r="J111" s="32"/>
    </row>
    <row r="112" spans="1:27" s="19" customFormat="1" ht="24.75" customHeight="1" x14ac:dyDescent="0.35">
      <c r="A112" s="86"/>
      <c r="B112" s="27" t="s">
        <v>72</v>
      </c>
      <c r="C112" s="28">
        <f>-986+C113</f>
        <v>-97722.5</v>
      </c>
      <c r="D112" s="30">
        <f>-796+D113</f>
        <v>-92926</v>
      </c>
      <c r="E112" s="30">
        <f>204+E113</f>
        <v>-85784</v>
      </c>
      <c r="F112" s="30">
        <f>558+F113</f>
        <v>-87272.6</v>
      </c>
      <c r="G112" s="31">
        <f t="shared" si="2"/>
        <v>-363705.1</v>
      </c>
      <c r="H112" s="28">
        <f>-613+H113</f>
        <v>-88531</v>
      </c>
      <c r="I112" s="126">
        <f>-943+I113</f>
        <v>-90035</v>
      </c>
      <c r="J112" s="32"/>
    </row>
    <row r="113" spans="1:11" s="50" customFormat="1" ht="24.75" customHeight="1" x14ac:dyDescent="0.35">
      <c r="A113" s="91"/>
      <c r="B113" s="44" t="s">
        <v>37</v>
      </c>
      <c r="C113" s="57">
        <v>-96736.5</v>
      </c>
      <c r="D113" s="53">
        <v>-92130</v>
      </c>
      <c r="E113" s="53">
        <v>-85988</v>
      </c>
      <c r="F113" s="53">
        <v>-87830.6</v>
      </c>
      <c r="G113" s="54">
        <f t="shared" si="2"/>
        <v>-362685.1</v>
      </c>
      <c r="H113" s="57">
        <v>-87918</v>
      </c>
      <c r="I113" s="127">
        <v>-89092</v>
      </c>
      <c r="J113" s="55"/>
      <c r="K113" s="142"/>
    </row>
    <row r="114" spans="1:11" s="19" customFormat="1" ht="24.75" customHeight="1" x14ac:dyDescent="0.35">
      <c r="A114" s="86"/>
      <c r="B114" s="27" t="s">
        <v>73</v>
      </c>
      <c r="C114" s="87">
        <v>1039</v>
      </c>
      <c r="D114" s="88">
        <v>1946</v>
      </c>
      <c r="E114" s="88">
        <v>1547</v>
      </c>
      <c r="F114" s="88">
        <v>2956</v>
      </c>
      <c r="G114" s="89">
        <f t="shared" si="2"/>
        <v>7488</v>
      </c>
      <c r="H114" s="87">
        <v>2390</v>
      </c>
      <c r="I114" s="125">
        <v>937</v>
      </c>
      <c r="J114" s="90"/>
      <c r="K114" s="103"/>
    </row>
    <row r="115" spans="1:11" s="19" customFormat="1" ht="24.75" customHeight="1" x14ac:dyDescent="0.3">
      <c r="A115" s="86"/>
      <c r="B115" s="20" t="s">
        <v>74</v>
      </c>
      <c r="C115" s="98">
        <f>C116+C117+C118+C119+C120</f>
        <v>1614</v>
      </c>
      <c r="D115" s="99">
        <f>D116+D117+D118+D119+D120</f>
        <v>-2970</v>
      </c>
      <c r="E115" s="99">
        <f>E116+E117+E118+E119+E120</f>
        <v>-1105</v>
      </c>
      <c r="F115" s="99">
        <f>F116+F117+F118+F119+F120</f>
        <v>-3580</v>
      </c>
      <c r="G115" s="100">
        <f t="shared" si="2"/>
        <v>-6041</v>
      </c>
      <c r="H115" s="98">
        <f>H116+H117+H118+H119+H120</f>
        <v>-5004</v>
      </c>
      <c r="I115" s="131">
        <f>I116+I117+I118+I119+I120</f>
        <v>-10646</v>
      </c>
      <c r="J115" s="101"/>
    </row>
    <row r="116" spans="1:11" s="19" customFormat="1" ht="24.75" customHeight="1" x14ac:dyDescent="0.35">
      <c r="A116" s="86"/>
      <c r="B116" s="27" t="s">
        <v>75</v>
      </c>
      <c r="C116" s="87">
        <v>0</v>
      </c>
      <c r="D116" s="88">
        <v>0</v>
      </c>
      <c r="E116" s="88">
        <v>0</v>
      </c>
      <c r="F116" s="88">
        <v>0</v>
      </c>
      <c r="G116" s="89">
        <f t="shared" si="2"/>
        <v>0</v>
      </c>
      <c r="H116" s="87">
        <v>0</v>
      </c>
      <c r="I116" s="125">
        <v>0</v>
      </c>
      <c r="J116" s="90"/>
    </row>
    <row r="117" spans="1:11" s="19" customFormat="1" ht="24.75" customHeight="1" x14ac:dyDescent="0.35">
      <c r="A117" s="86"/>
      <c r="B117" s="27" t="s">
        <v>76</v>
      </c>
      <c r="C117" s="87">
        <v>21</v>
      </c>
      <c r="D117" s="88">
        <v>-176</v>
      </c>
      <c r="E117" s="88">
        <v>-8</v>
      </c>
      <c r="F117" s="88">
        <v>-2</v>
      </c>
      <c r="G117" s="89">
        <f t="shared" si="2"/>
        <v>-165</v>
      </c>
      <c r="H117" s="87">
        <v>19</v>
      </c>
      <c r="I117" s="125">
        <v>1</v>
      </c>
      <c r="J117" s="90"/>
    </row>
    <row r="118" spans="1:11" s="19" customFormat="1" ht="24.75" customHeight="1" x14ac:dyDescent="0.35">
      <c r="A118" s="86"/>
      <c r="B118" s="27" t="s">
        <v>77</v>
      </c>
      <c r="C118" s="87">
        <v>-40</v>
      </c>
      <c r="D118" s="88">
        <v>-56</v>
      </c>
      <c r="E118" s="88">
        <v>0</v>
      </c>
      <c r="F118" s="88">
        <v>0</v>
      </c>
      <c r="G118" s="89">
        <f t="shared" si="2"/>
        <v>-96</v>
      </c>
      <c r="H118" s="87">
        <v>0</v>
      </c>
      <c r="I118" s="125">
        <v>-47</v>
      </c>
      <c r="J118" s="90"/>
    </row>
    <row r="119" spans="1:11" s="19" customFormat="1" ht="24.75" customHeight="1" x14ac:dyDescent="0.35">
      <c r="A119" s="86"/>
      <c r="B119" s="27" t="s">
        <v>78</v>
      </c>
      <c r="C119" s="87">
        <v>1633</v>
      </c>
      <c r="D119" s="88">
        <v>-2738</v>
      </c>
      <c r="E119" s="88">
        <v>-1097</v>
      </c>
      <c r="F119" s="88">
        <v>-3578</v>
      </c>
      <c r="G119" s="89">
        <f t="shared" si="2"/>
        <v>-5780</v>
      </c>
      <c r="H119" s="87">
        <v>-5023</v>
      </c>
      <c r="I119" s="125">
        <v>-10600</v>
      </c>
      <c r="J119" s="90"/>
    </row>
    <row r="120" spans="1:11" s="19" customFormat="1" ht="24.75" customHeight="1" x14ac:dyDescent="0.35">
      <c r="A120" s="86"/>
      <c r="B120" s="27" t="s">
        <v>79</v>
      </c>
      <c r="C120" s="104">
        <v>0</v>
      </c>
      <c r="D120" s="105">
        <v>0</v>
      </c>
      <c r="E120" s="105">
        <v>0</v>
      </c>
      <c r="F120" s="105">
        <v>0</v>
      </c>
      <c r="G120" s="106">
        <f t="shared" si="2"/>
        <v>0</v>
      </c>
      <c r="H120" s="104">
        <v>0</v>
      </c>
      <c r="I120" s="134">
        <v>0</v>
      </c>
      <c r="J120" s="75"/>
    </row>
    <row r="121" spans="1:11" s="19" customFormat="1" ht="24.75" customHeight="1" x14ac:dyDescent="0.3">
      <c r="A121" s="86" t="s">
        <v>80</v>
      </c>
      <c r="B121" s="20" t="s">
        <v>81</v>
      </c>
      <c r="C121" s="98">
        <f>-(C7+C80)</f>
        <v>-1333.5</v>
      </c>
      <c r="D121" s="99">
        <f>-(D7+D80)</f>
        <v>-1460.6000000000186</v>
      </c>
      <c r="E121" s="99">
        <f>-(E7+E80)</f>
        <v>2220.4228574225344</v>
      </c>
      <c r="F121" s="99">
        <f>-(F7+F80)</f>
        <v>-1792.3069999999425</v>
      </c>
      <c r="G121" s="100">
        <f t="shared" si="2"/>
        <v>-2365.9841425774266</v>
      </c>
      <c r="H121" s="98">
        <f>-(H7+H80)</f>
        <v>-1356.7870000000039</v>
      </c>
      <c r="I121" s="131">
        <f>-(I7+I80)</f>
        <v>2423</v>
      </c>
      <c r="J121" s="101"/>
    </row>
    <row r="122" spans="1:11" s="19" customFormat="1" ht="7.5" customHeight="1" thickBot="1" x14ac:dyDescent="0.4">
      <c r="A122" s="107"/>
      <c r="B122" s="108"/>
      <c r="C122" s="109"/>
      <c r="D122" s="110"/>
      <c r="E122" s="110"/>
      <c r="F122" s="111"/>
      <c r="G122" s="112"/>
      <c r="H122" s="122"/>
      <c r="I122" s="135"/>
      <c r="J122" s="18"/>
    </row>
    <row r="123" spans="1:11" s="8" customFormat="1" ht="24.75" customHeight="1" x14ac:dyDescent="0.3">
      <c r="A123" s="113" t="s">
        <v>85</v>
      </c>
      <c r="B123" s="114"/>
      <c r="I123" s="115"/>
    </row>
    <row r="124" spans="1:11" s="8" customFormat="1" ht="20.25" x14ac:dyDescent="0.3">
      <c r="A124" s="116" t="s">
        <v>82</v>
      </c>
      <c r="I124" s="115"/>
    </row>
    <row r="125" spans="1:11" x14ac:dyDescent="0.35">
      <c r="A125" s="116" t="s">
        <v>83</v>
      </c>
    </row>
    <row r="129" spans="3:7" x14ac:dyDescent="0.35">
      <c r="C129" s="118"/>
      <c r="D129" s="118"/>
      <c r="E129" s="118"/>
      <c r="F129" s="118"/>
      <c r="G129" s="118"/>
    </row>
  </sheetData>
  <mergeCells count="11">
    <mergeCell ref="H4:I4"/>
    <mergeCell ref="H57:I57"/>
    <mergeCell ref="A57:A58"/>
    <mergeCell ref="B57:B58"/>
    <mergeCell ref="C57:F57"/>
    <mergeCell ref="G57:G58"/>
    <mergeCell ref="A1:G2"/>
    <mergeCell ref="A4:A5"/>
    <mergeCell ref="B4:B5"/>
    <mergeCell ref="C4:F4"/>
    <mergeCell ref="G4:G5"/>
  </mergeCells>
  <pageMargins left="0.94488188976377963" right="0.35433070866141736" top="0.78740157480314965" bottom="0.78740157480314965" header="0.51181102362204722" footer="0.51181102362204722"/>
  <pageSetup paperSize="9" scale="40" orientation="portrait" r:id="rId1"/>
  <headerFooter alignWithMargins="0"/>
  <rowBreaks count="1" manualBreakCount="1">
    <brk id="5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51</vt:lpstr>
      <vt:lpstr>'51'!Print_Area</vt:lpstr>
      <vt:lpstr>'51'!Print_Titles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Satishingh Jugoo</dc:creator>
  <cp:lastModifiedBy>Satishingh Jugoo</cp:lastModifiedBy>
  <cp:lastPrinted>2013-09-13T05:11:41Z</cp:lastPrinted>
  <dcterms:created xsi:type="dcterms:W3CDTF">2013-06-14T05:53:04Z</dcterms:created>
  <dcterms:modified xsi:type="dcterms:W3CDTF">2013-10-02T09:32:22Z</dcterms:modified>
</cp:coreProperties>
</file>