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48a-b" sheetId="1" r:id="rId1"/>
  </sheets>
  <externalReferences>
    <externalReference r:id="rId2"/>
  </externalReferences>
  <definedNames>
    <definedName name="_xlnm.Database" localSheetId="0">'[1]Table-1'!#REF!</definedName>
    <definedName name="_xlnm.Database">'[1]Table-1'!#REF!</definedName>
    <definedName name="_xlnm.Print_Area" localSheetId="0">'48a-b'!$A$1:$O$66</definedName>
    <definedName name="Print_Area_MI" localSheetId="0">#REF!</definedName>
    <definedName name="Print_Area_MI">#REF!</definedName>
  </definedNames>
  <calcPr calcId="145621"/>
</workbook>
</file>

<file path=xl/calcChain.xml><?xml version="1.0" encoding="utf-8"?>
<calcChain xmlns="http://schemas.openxmlformats.org/spreadsheetml/2006/main">
  <c r="K54" i="1" l="1"/>
  <c r="K12" i="1"/>
  <c r="J22" i="1" l="1"/>
  <c r="L33" i="1" l="1"/>
  <c r="L32" i="1" s="1"/>
  <c r="L41" i="1"/>
  <c r="L44" i="1"/>
  <c r="L31" i="1" l="1"/>
  <c r="J58" i="1"/>
  <c r="J55" i="1" s="1"/>
  <c r="J52" i="1" s="1"/>
  <c r="J32" i="1"/>
  <c r="J48" i="1"/>
  <c r="J44" i="1"/>
  <c r="L48" i="1" l="1"/>
  <c r="L53" i="1"/>
  <c r="L56" i="1"/>
  <c r="L60" i="1"/>
  <c r="L58" i="1" s="1"/>
  <c r="L55" i="1" l="1"/>
  <c r="L52" i="1" s="1"/>
  <c r="L51" i="1" s="1"/>
  <c r="L43" i="1" s="1"/>
  <c r="L30" i="1" s="1"/>
  <c r="J41" i="1"/>
  <c r="J31" i="1" s="1"/>
  <c r="K34" i="1"/>
  <c r="K35" i="1"/>
  <c r="K36" i="1"/>
  <c r="K37" i="1"/>
  <c r="L22" i="1" l="1"/>
  <c r="K61" i="1" l="1"/>
  <c r="J61" i="1"/>
  <c r="J51" i="1" s="1"/>
  <c r="J43" i="1" s="1"/>
  <c r="J30" i="1" s="1"/>
  <c r="K60" i="1"/>
  <c r="K59" i="1"/>
  <c r="G58" i="1"/>
  <c r="G60" i="1" s="1"/>
  <c r="F58" i="1"/>
  <c r="F60" i="1" s="1"/>
  <c r="E58" i="1"/>
  <c r="E60" i="1" s="1"/>
  <c r="D58" i="1"/>
  <c r="D60" i="1" s="1"/>
  <c r="C58" i="1"/>
  <c r="K57" i="1"/>
  <c r="K56" i="1" s="1"/>
  <c r="C56" i="1"/>
  <c r="K53" i="1"/>
  <c r="F53" i="1"/>
  <c r="E53" i="1"/>
  <c r="F51" i="1"/>
  <c r="E51" i="1"/>
  <c r="K50" i="1"/>
  <c r="K48" i="1" s="1"/>
  <c r="F48" i="1"/>
  <c r="E48" i="1"/>
  <c r="K47" i="1"/>
  <c r="K46" i="1"/>
  <c r="K45" i="1"/>
  <c r="G44" i="1"/>
  <c r="G43" i="1" s="1"/>
  <c r="F44" i="1"/>
  <c r="E44" i="1"/>
  <c r="D44" i="1"/>
  <c r="D43" i="1" s="1"/>
  <c r="C44" i="1"/>
  <c r="C43" i="1" s="1"/>
  <c r="K42" i="1"/>
  <c r="K41" i="1" s="1"/>
  <c r="F41" i="1"/>
  <c r="F31" i="1" s="1"/>
  <c r="E41" i="1"/>
  <c r="K40" i="1"/>
  <c r="K39" i="1"/>
  <c r="K38" i="1"/>
  <c r="K33" i="1" s="1"/>
  <c r="G38" i="1"/>
  <c r="F38" i="1"/>
  <c r="E38" i="1"/>
  <c r="G32" i="1"/>
  <c r="G31" i="1" s="1"/>
  <c r="F32" i="1"/>
  <c r="E32" i="1"/>
  <c r="E31" i="1" s="1"/>
  <c r="D32" i="1"/>
  <c r="D31" i="1" s="1"/>
  <c r="D30" i="1" s="1"/>
  <c r="C32" i="1"/>
  <c r="C31" i="1" s="1"/>
  <c r="I30" i="1"/>
  <c r="H30" i="1"/>
  <c r="I22" i="1"/>
  <c r="H22" i="1"/>
  <c r="F22" i="1"/>
  <c r="E22" i="1"/>
  <c r="D22" i="1"/>
  <c r="C22" i="1"/>
  <c r="K19" i="1"/>
  <c r="K18" i="1"/>
  <c r="K17" i="1"/>
  <c r="K16" i="1"/>
  <c r="K15" i="1"/>
  <c r="K14" i="1"/>
  <c r="G14" i="1"/>
  <c r="G22" i="1" s="1"/>
  <c r="K13" i="1"/>
  <c r="K10" i="1"/>
  <c r="K9" i="1"/>
  <c r="K7" i="1"/>
  <c r="D55" i="1" l="1"/>
  <c r="F55" i="1"/>
  <c r="K44" i="1"/>
  <c r="E55" i="1"/>
  <c r="C30" i="1"/>
  <c r="C55" i="1"/>
  <c r="K58" i="1"/>
  <c r="K32" i="1"/>
  <c r="K31" i="1" s="1"/>
  <c r="G55" i="1"/>
  <c r="K22" i="1"/>
  <c r="K55" i="1"/>
  <c r="K52" i="1" s="1"/>
  <c r="K51" i="1" s="1"/>
  <c r="K43" i="1" s="1"/>
  <c r="G30" i="1"/>
  <c r="E43" i="1"/>
  <c r="E30" i="1" s="1"/>
  <c r="F43" i="1"/>
  <c r="F30" i="1"/>
  <c r="K30" i="1" l="1"/>
</calcChain>
</file>

<file path=xl/sharedStrings.xml><?xml version="1.0" encoding="utf-8"?>
<sst xmlns="http://schemas.openxmlformats.org/spreadsheetml/2006/main" count="133" uniqueCount="94">
  <si>
    <t>(Excluding GBC1s)</t>
  </si>
  <si>
    <t>(Rs million)</t>
  </si>
  <si>
    <r>
      <t xml:space="preserve">Sector (ISIC </t>
    </r>
    <r>
      <rPr>
        <b/>
        <vertAlign val="superscript"/>
        <sz val="10"/>
        <rFont val="Arial"/>
        <family val="2"/>
      </rPr>
      <t>^</t>
    </r>
    <r>
      <rPr>
        <b/>
        <sz val="10"/>
        <rFont val="Arial"/>
        <family val="2"/>
      </rPr>
      <t xml:space="preserve"> 1 digit)</t>
    </r>
  </si>
  <si>
    <t>Description</t>
  </si>
  <si>
    <t>2006</t>
  </si>
  <si>
    <t>2007</t>
  </si>
  <si>
    <t>2008</t>
  </si>
  <si>
    <t xml:space="preserve">2009 </t>
  </si>
  <si>
    <t xml:space="preserve">2010 </t>
  </si>
  <si>
    <t>A</t>
  </si>
  <si>
    <t>Agriculture, forestry and fishing</t>
  </si>
  <si>
    <t xml:space="preserve"> -</t>
  </si>
  <si>
    <t>C</t>
  </si>
  <si>
    <t>Manufacturing</t>
  </si>
  <si>
    <t>D</t>
  </si>
  <si>
    <t>Electricity, gas, steam and air conditioning supply</t>
  </si>
  <si>
    <t>F</t>
  </si>
  <si>
    <t>Construction</t>
  </si>
  <si>
    <t>G</t>
  </si>
  <si>
    <t xml:space="preserve">Wholesale and retail trade; repair of motor vehicles and motorcycles </t>
  </si>
  <si>
    <t>H</t>
  </si>
  <si>
    <t>Transportation and storage</t>
  </si>
  <si>
    <t>-</t>
  </si>
  <si>
    <t>I</t>
  </si>
  <si>
    <t>Accommodation and food service activities</t>
  </si>
  <si>
    <t>J</t>
  </si>
  <si>
    <t>Information and communication</t>
  </si>
  <si>
    <t>K</t>
  </si>
  <si>
    <t xml:space="preserve">Financial and insurance activities </t>
  </si>
  <si>
    <t>L</t>
  </si>
  <si>
    <t>Real estate activities</t>
  </si>
  <si>
    <t xml:space="preserve">   of which - IRS/RES/IHS</t>
  </si>
  <si>
    <t>M</t>
  </si>
  <si>
    <t>Professional, scientific and technical activities</t>
  </si>
  <si>
    <t>N</t>
  </si>
  <si>
    <t>Administrative and support service activities</t>
  </si>
  <si>
    <t>P</t>
  </si>
  <si>
    <t>Education</t>
  </si>
  <si>
    <t>Q</t>
  </si>
  <si>
    <t>Human health and social work activities</t>
  </si>
  <si>
    <t>R</t>
  </si>
  <si>
    <t>Arts, entertainment and recreation</t>
  </si>
  <si>
    <t>Total</t>
  </si>
  <si>
    <t xml:space="preserve"> Details on ISIC Rev.4 are available on United Nations Statistics Division website at  http://unstats.un.org/unsd/cr/registry/isic-4.asp </t>
  </si>
  <si>
    <t>Region /Economy</t>
  </si>
  <si>
    <t xml:space="preserve">2008 </t>
  </si>
  <si>
    <r>
      <t>2010</t>
    </r>
    <r>
      <rPr>
        <b/>
        <vertAlign val="superscript"/>
        <sz val="10"/>
        <rFont val="Arial"/>
        <family val="2"/>
      </rPr>
      <t xml:space="preserve"> </t>
    </r>
  </si>
  <si>
    <t>Total world</t>
  </si>
  <si>
    <t xml:space="preserve">     Developed countries</t>
  </si>
  <si>
    <t xml:space="preserve">       Europe</t>
  </si>
  <si>
    <t xml:space="preserve">         European Union 27</t>
  </si>
  <si>
    <t xml:space="preserve">             Belgium </t>
  </si>
  <si>
    <t xml:space="preserve">             Luxembourg</t>
  </si>
  <si>
    <t xml:space="preserve">             France</t>
  </si>
  <si>
    <t xml:space="preserve">             Germany</t>
  </si>
  <si>
    <t xml:space="preserve">             United Kingdom</t>
  </si>
  <si>
    <t xml:space="preserve">         Switzerland</t>
  </si>
  <si>
    <t xml:space="preserve">         Other</t>
  </si>
  <si>
    <t xml:space="preserve">       North America</t>
  </si>
  <si>
    <t xml:space="preserve">          United States</t>
  </si>
  <si>
    <t xml:space="preserve">    Developing economies</t>
  </si>
  <si>
    <t xml:space="preserve">       Africa</t>
  </si>
  <si>
    <t xml:space="preserve">           Reunion</t>
  </si>
  <si>
    <t xml:space="preserve">           South Africa</t>
  </si>
  <si>
    <t xml:space="preserve">           Other</t>
  </si>
  <si>
    <t xml:space="preserve">       Latin America and the Caribbean</t>
  </si>
  <si>
    <t xml:space="preserve">           South America</t>
  </si>
  <si>
    <t xml:space="preserve">           Central America</t>
  </si>
  <si>
    <t xml:space="preserve">       Asia and Oceania</t>
  </si>
  <si>
    <t xml:space="preserve">         Asia </t>
  </si>
  <si>
    <t xml:space="preserve">             West Asia</t>
  </si>
  <si>
    <t xml:space="preserve">                 United Arab Emirates</t>
  </si>
  <si>
    <t xml:space="preserve">             South and East Asia</t>
  </si>
  <si>
    <t xml:space="preserve">                 South Asia</t>
  </si>
  <si>
    <t>India</t>
  </si>
  <si>
    <t xml:space="preserve">                 East Asia</t>
  </si>
  <si>
    <t>China</t>
  </si>
  <si>
    <t xml:space="preserve">Other </t>
  </si>
  <si>
    <t xml:space="preserve">      Oceania </t>
  </si>
  <si>
    <t xml:space="preserve">   Unspecified</t>
  </si>
  <si>
    <t>Figures may not add up to totals due to rounding.</t>
  </si>
  <si>
    <t>Source: Statistics Division.</t>
  </si>
  <si>
    <r>
      <t xml:space="preserve">2015 </t>
    </r>
    <r>
      <rPr>
        <b/>
        <vertAlign val="superscript"/>
        <sz val="10"/>
        <rFont val="Arial"/>
        <family val="2"/>
      </rPr>
      <t>2</t>
    </r>
  </si>
  <si>
    <r>
      <t>2011</t>
    </r>
    <r>
      <rPr>
        <b/>
        <vertAlign val="superscript"/>
        <sz val="10"/>
        <rFont val="Arial"/>
        <family val="2"/>
      </rPr>
      <t xml:space="preserve"> </t>
    </r>
  </si>
  <si>
    <t xml:space="preserve">2012 </t>
  </si>
  <si>
    <r>
      <t xml:space="preserve">2013 </t>
    </r>
    <r>
      <rPr>
        <b/>
        <vertAlign val="superscript"/>
        <sz val="10"/>
        <rFont val="Arial"/>
        <family val="2"/>
      </rPr>
      <t>1</t>
    </r>
  </si>
  <si>
    <t xml:space="preserve">2011 </t>
  </si>
  <si>
    <r>
      <t xml:space="preserve">^ </t>
    </r>
    <r>
      <rPr>
        <i/>
        <sz val="9"/>
        <rFont val="Arial"/>
        <family val="2"/>
      </rPr>
      <t xml:space="preserve">Data in this table are in line with the structure of the fourth revision of International Standard of Industrial  Classification  (ISIC Rev. 4). </t>
    </r>
  </si>
  <si>
    <r>
      <t xml:space="preserve">2014 </t>
    </r>
    <r>
      <rPr>
        <b/>
        <vertAlign val="superscript"/>
        <sz val="10"/>
        <rFont val="Arial"/>
        <family val="2"/>
      </rPr>
      <t>2</t>
    </r>
  </si>
  <si>
    <r>
      <t>1</t>
    </r>
    <r>
      <rPr>
        <i/>
        <sz val="9"/>
        <rFont val="Arial"/>
        <family val="2"/>
      </rPr>
      <t xml:space="preserve"> Revised. Balance of payments statistics for 2013 have been supplemented with results obtained from the Foreign Assets and Liabilities Survey (FALS2014) conducted in 2014.  Direct investment data, besides equity, now also include reinvested earnings and shareholders’ loans.</t>
    </r>
  </si>
  <si>
    <r>
      <t xml:space="preserve">2 </t>
    </r>
    <r>
      <rPr>
        <i/>
        <sz val="9"/>
        <rFont val="Arial"/>
        <family val="2"/>
      </rPr>
      <t xml:space="preserve">Preliminary. Data as from 2014 would be revised in the wake of results from future FALS and are therefore not strictly comparable with prior years' data.
</t>
    </r>
  </si>
  <si>
    <t>Annual 2010 - 2014 and First Quarter 2015 (Excluding GBC1s)</t>
  </si>
  <si>
    <t xml:space="preserve">Table 48b: Direct Investment in Mauritius by Geographical Origin: </t>
  </si>
  <si>
    <t>Table 48a: Direct Investment in Mauritius by Sector: Annual 2010 - 2014 and First Quarter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</si>
</sst>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_-* #,##0_-;\-* #,##0_-;_-* &quot;-&quot;??_-;_-@_-"/>
    <numFmt numFmtId="166" formatCode="_(* #,##0.00_);_(* \(#,##0.00\);_(* \-??_);_(@_)"/>
    <numFmt numFmtId="167" formatCode="_-&quot;$&quot;* #,##0.00_-;\-&quot;$&quot;* #,##0.00_-;_-&quot;$&quot;* &quot;-&quot;??_-;_-@_-"/>
    <numFmt numFmtId="168" formatCode="dd\-mmm\-yy_)"/>
    <numFmt numFmtId="169" formatCode="_-[$€-2]* #,##0.00_-;\-[$€-2]* #,##0.00_-;_-[$€-2]* &quot;-&quot;??_-"/>
    <numFmt numFmtId="170" formatCode="#,##0.0"/>
  </numFmts>
  <fonts count="61">
    <font>
      <sz val="10"/>
      <name val="Arial"/>
      <family val="2"/>
    </font>
    <font>
      <sz val="11"/>
      <color theme="1"/>
      <name val="Calibri"/>
      <family val="2"/>
      <scheme val="minor"/>
    </font>
    <font>
      <sz val="10"/>
      <name val="Arial"/>
      <family val="2"/>
    </font>
    <font>
      <b/>
      <sz val="13"/>
      <name val="Arial"/>
      <family val="2"/>
    </font>
    <font>
      <sz val="13"/>
      <name val="Arial"/>
      <family val="2"/>
    </font>
    <font>
      <sz val="8"/>
      <name val="Arial"/>
      <family val="2"/>
    </font>
    <font>
      <i/>
      <sz val="8"/>
      <name val="Arial"/>
      <family val="2"/>
    </font>
    <font>
      <i/>
      <sz val="9"/>
      <name val="Arial"/>
      <family val="2"/>
    </font>
    <font>
      <b/>
      <sz val="10"/>
      <name val="Arial"/>
      <family val="2"/>
    </font>
    <font>
      <b/>
      <vertAlign val="superscript"/>
      <sz val="10"/>
      <name val="Arial"/>
      <family val="2"/>
    </font>
    <font>
      <b/>
      <sz val="9"/>
      <name val="Arial"/>
      <family val="2"/>
    </font>
    <font>
      <sz val="9"/>
      <name val="Arial"/>
      <family val="2"/>
    </font>
    <font>
      <i/>
      <sz val="10"/>
      <name val="Arial"/>
      <family val="2"/>
    </font>
    <font>
      <i/>
      <vertAlign val="superscript"/>
      <sz val="9"/>
      <name val="Arial"/>
      <family val="2"/>
    </font>
    <font>
      <sz val="8"/>
      <color indexed="10"/>
      <name val="Arial"/>
      <family val="2"/>
    </font>
    <font>
      <sz val="10"/>
      <name val="Times New Roman"/>
      <family val="1"/>
    </font>
    <font>
      <b/>
      <sz val="7"/>
      <name val="Arial"/>
      <family val="2"/>
    </font>
    <font>
      <sz val="7"/>
      <name val="Arial"/>
      <family val="2"/>
    </font>
    <font>
      <sz val="6"/>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Barclays Sans"/>
      <family val="2"/>
    </font>
    <font>
      <sz val="10"/>
      <color indexed="12"/>
      <name val="CG Times (W1)"/>
    </font>
    <font>
      <i/>
      <sz val="11"/>
      <color indexed="23"/>
      <name val="Calibri"/>
      <family val="2"/>
    </font>
    <font>
      <b/>
      <sz val="18"/>
      <name val="Times New Roman"/>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b/>
      <sz val="8"/>
      <name val="MS Sans Serif"/>
      <family val="2"/>
    </font>
    <font>
      <sz val="11"/>
      <color indexed="52"/>
      <name val="Calibri"/>
      <family val="2"/>
    </font>
    <font>
      <sz val="11"/>
      <color indexed="60"/>
      <name val="Calibri"/>
      <family val="2"/>
    </font>
    <font>
      <sz val="12"/>
      <name val="Helv"/>
    </font>
    <font>
      <b/>
      <sz val="11"/>
      <color indexed="63"/>
      <name val="Calibri"/>
      <family val="2"/>
    </font>
    <font>
      <sz val="12"/>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9"/>
      <color indexed="48"/>
      <name val="Arial"/>
      <family val="2"/>
    </font>
    <font>
      <sz val="9"/>
      <color indexed="20"/>
      <name val="Arial"/>
      <family val="2"/>
    </font>
    <font>
      <b/>
      <sz val="18"/>
      <color indexed="56"/>
      <name val="Cambria"/>
      <family val="2"/>
    </font>
    <font>
      <b/>
      <sz val="11"/>
      <color indexed="8"/>
      <name val="Calibri"/>
      <family val="2"/>
    </font>
    <font>
      <sz val="11"/>
      <color indexed="10"/>
      <name val="Calibri"/>
      <family val="2"/>
    </font>
  </fonts>
  <fills count="6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3"/>
        <bgColor indexed="26"/>
      </patternFill>
    </fill>
    <fill>
      <patternFill patternType="solid">
        <fgColor indexed="43"/>
      </patternFill>
    </fill>
    <fill>
      <patternFill patternType="solid">
        <fgColor indexed="26"/>
        <bgColor indexed="9"/>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14"/>
        <bgColor indexed="64"/>
      </patternFill>
    </fill>
  </fills>
  <borders count="37">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s>
  <cellStyleXfs count="467">
    <xf numFmtId="0" fontId="0"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15" fillId="0" borderId="0"/>
    <xf numFmtId="0" fontId="15" fillId="0" borderId="0"/>
    <xf numFmtId="0" fontId="16" fillId="4" borderId="0"/>
    <xf numFmtId="0" fontId="16" fillId="4" borderId="0"/>
    <xf numFmtId="0" fontId="17" fillId="4" borderId="0"/>
    <xf numFmtId="0" fontId="17" fillId="4" borderId="0"/>
    <xf numFmtId="0" fontId="16" fillId="4" borderId="0"/>
    <xf numFmtId="0" fontId="16" fillId="4" borderId="0"/>
    <xf numFmtId="0" fontId="18" fillId="0" borderId="0"/>
    <xf numFmtId="0" fontId="18" fillId="0" borderId="0"/>
    <xf numFmtId="0" fontId="18" fillId="0" borderId="0"/>
    <xf numFmtId="0" fontId="18" fillId="0" borderId="0"/>
    <xf numFmtId="0" fontId="5" fillId="0" borderId="0"/>
    <xf numFmtId="0" fontId="5" fillId="0" borderId="0"/>
    <xf numFmtId="0" fontId="17" fillId="0" borderId="0"/>
    <xf numFmtId="0" fontId="17" fillId="0" borderId="0"/>
    <xf numFmtId="0" fontId="19" fillId="0" borderId="0"/>
    <xf numFmtId="0" fontId="19" fillId="0" borderId="0"/>
    <xf numFmtId="0" fontId="19" fillId="0" borderId="0"/>
    <xf numFmtId="0" fontId="19" fillId="0" borderId="0"/>
    <xf numFmtId="0" fontId="20" fillId="0" borderId="0"/>
    <xf numFmtId="0" fontId="20" fillId="0" borderId="0"/>
    <xf numFmtId="0" fontId="17" fillId="4" borderId="0"/>
    <xf numFmtId="0" fontId="17" fillId="4" borderId="0"/>
    <xf numFmtId="0" fontId="16" fillId="4" borderId="0"/>
    <xf numFmtId="0" fontId="16" fillId="4" borderId="0"/>
    <xf numFmtId="0" fontId="21" fillId="5" borderId="0"/>
    <xf numFmtId="0" fontId="21" fillId="5" borderId="0"/>
    <xf numFmtId="0" fontId="22" fillId="6" borderId="0"/>
    <xf numFmtId="0" fontId="22" fillId="6" borderId="0"/>
    <xf numFmtId="0" fontId="22" fillId="6" borderId="0"/>
    <xf numFmtId="0" fontId="22" fillId="6" borderId="0"/>
    <xf numFmtId="0" fontId="19" fillId="0" borderId="0"/>
    <xf numFmtId="0" fontId="19" fillId="0" borderId="0"/>
    <xf numFmtId="0" fontId="20" fillId="0" borderId="0"/>
    <xf numFmtId="0" fontId="20"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16" fillId="4" borderId="0"/>
    <xf numFmtId="0" fontId="16" fillId="4" borderId="0"/>
    <xf numFmtId="0" fontId="17" fillId="4" borderId="0"/>
    <xf numFmtId="0" fontId="17" fillId="4" borderId="0"/>
    <xf numFmtId="0" fontId="5" fillId="0" borderId="0"/>
    <xf numFmtId="0" fontId="5" fillId="0" borderId="0"/>
    <xf numFmtId="0" fontId="26" fillId="5" borderId="0"/>
    <xf numFmtId="0" fontId="26" fillId="5" borderId="0"/>
    <xf numFmtId="0" fontId="26" fillId="5" borderId="0"/>
    <xf numFmtId="0" fontId="26" fillId="5" borderId="0"/>
    <xf numFmtId="0" fontId="26" fillId="5" borderId="0"/>
    <xf numFmtId="0" fontId="26" fillId="5" borderId="0"/>
    <xf numFmtId="0" fontId="21" fillId="5" borderId="0"/>
    <xf numFmtId="0" fontId="21" fillId="5" borderId="0"/>
    <xf numFmtId="0" fontId="22" fillId="6" borderId="0"/>
    <xf numFmtId="0" fontId="22" fillId="6" borderId="0"/>
    <xf numFmtId="0" fontId="22" fillId="6" borderId="0"/>
    <xf numFmtId="0" fontId="22" fillId="6" borderId="0"/>
    <xf numFmtId="0" fontId="22" fillId="6" borderId="0"/>
    <xf numFmtId="0" fontId="22" fillId="6" borderId="0"/>
    <xf numFmtId="0" fontId="19" fillId="0" borderId="0"/>
    <xf numFmtId="0" fontId="19" fillId="0" borderId="0"/>
    <xf numFmtId="0" fontId="20" fillId="0" borderId="0"/>
    <xf numFmtId="0" fontId="20"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16" fillId="4" borderId="0"/>
    <xf numFmtId="0" fontId="16" fillId="4" borderId="0"/>
    <xf numFmtId="0" fontId="17" fillId="4" borderId="0"/>
    <xf numFmtId="0" fontId="17" fillId="4" borderId="0"/>
    <xf numFmtId="0" fontId="5" fillId="0" borderId="0"/>
    <xf numFmtId="0" fontId="5" fillId="0" borderId="0"/>
    <xf numFmtId="0" fontId="5" fillId="5" borderId="0"/>
    <xf numFmtId="0" fontId="5" fillId="5" borderId="0"/>
    <xf numFmtId="0" fontId="21" fillId="5" borderId="0"/>
    <xf numFmtId="0" fontId="21" fillId="5" borderId="0"/>
    <xf numFmtId="0" fontId="2" fillId="0" borderId="0">
      <alignment vertical="top"/>
    </xf>
    <xf numFmtId="0" fontId="2" fillId="0" borderId="0">
      <alignment vertical="top"/>
    </xf>
    <xf numFmtId="0" fontId="27" fillId="7" borderId="0" applyNumberFormat="0" applyBorder="0" applyAlignment="0" applyProtection="0"/>
    <xf numFmtId="0" fontId="27" fillId="4"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8" fillId="26" borderId="0" applyNumberFormat="0" applyBorder="0" applyAlignment="0" applyProtection="0"/>
    <xf numFmtId="0" fontId="28" fillId="6"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9" borderId="0" applyNumberFormat="0" applyBorder="0" applyAlignment="0" applyProtection="0"/>
    <xf numFmtId="0" fontId="28" fillId="40"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30" fillId="41" borderId="24" applyNumberFormat="0" applyAlignment="0" applyProtection="0"/>
    <xf numFmtId="0" fontId="30" fillId="42" borderId="24" applyNumberFormat="0" applyAlignment="0" applyProtection="0"/>
    <xf numFmtId="0" fontId="31" fillId="43" borderId="25" applyNumberFormat="0" applyAlignment="0" applyProtection="0"/>
    <xf numFmtId="0" fontId="31" fillId="44" borderId="25"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166"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8" fontId="33" fillId="0" borderId="19" applyNumberFormat="0" applyFill="0" applyBorder="0" applyAlignment="0">
      <protection locked="0"/>
    </xf>
    <xf numFmtId="169" fontId="2" fillId="0" borderId="0" applyFont="0" applyFill="0" applyBorder="0" applyAlignment="0" applyProtection="0"/>
    <xf numFmtId="169" fontId="2" fillId="0" borderId="0" applyFont="0" applyFill="0" applyBorder="0" applyAlignment="0" applyProtection="0"/>
    <xf numFmtId="0" fontId="34" fillId="0" borderId="0" applyNumberFormat="0" applyFill="0" applyBorder="0" applyAlignment="0" applyProtection="0"/>
    <xf numFmtId="170" fontId="35" fillId="0" borderId="0">
      <alignment horizontal="center"/>
    </xf>
    <xf numFmtId="0" fontId="36" fillId="10" borderId="0" applyNumberFormat="0" applyBorder="0" applyAlignment="0" applyProtection="0"/>
    <xf numFmtId="0" fontId="36" fillId="11" borderId="0" applyNumberFormat="0" applyBorder="0" applyAlignment="0" applyProtection="0"/>
    <xf numFmtId="0" fontId="37" fillId="0" borderId="26" applyNumberFormat="0" applyFill="0" applyAlignment="0" applyProtection="0"/>
    <xf numFmtId="0" fontId="38" fillId="0" borderId="27" applyNumberFormat="0" applyFill="0" applyAlignment="0" applyProtection="0"/>
    <xf numFmtId="0" fontId="39" fillId="0" borderId="28"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alignment vertical="top"/>
      <protection locked="0"/>
    </xf>
    <xf numFmtId="0" fontId="41" fillId="16" borderId="24" applyNumberFormat="0" applyAlignment="0" applyProtection="0"/>
    <xf numFmtId="0" fontId="41" fillId="17" borderId="24" applyNumberFormat="0" applyAlignment="0" applyProtection="0"/>
    <xf numFmtId="0" fontId="42" fillId="0" borderId="0" applyNumberFormat="0" applyFill="0" applyBorder="0">
      <alignment horizontal="right"/>
    </xf>
    <xf numFmtId="0" fontId="42" fillId="0" borderId="0" applyNumberFormat="0" applyFill="0" applyBorder="0">
      <alignment horizontal="right"/>
    </xf>
    <xf numFmtId="0" fontId="43" fillId="0" borderId="29" applyNumberFormat="0" applyFill="0" applyAlignment="0" applyProtection="0"/>
    <xf numFmtId="41" fontId="2" fillId="0" borderId="0" applyFont="0" applyFill="0" applyBorder="0" applyAlignment="0" applyProtection="0"/>
    <xf numFmtId="43" fontId="2" fillId="0" borderId="0" applyFont="0" applyFill="0" applyBorder="0" applyAlignment="0" applyProtection="0"/>
    <xf numFmtId="0" fontId="44" fillId="45" borderId="0" applyNumberFormat="0" applyBorder="0" applyAlignment="0" applyProtection="0"/>
    <xf numFmtId="0" fontId="44" fillId="46" borderId="0" applyNumberFormat="0" applyBorder="0" applyAlignment="0" applyProtection="0"/>
    <xf numFmtId="0" fontId="45" fillId="0" borderId="0"/>
    <xf numFmtId="0" fontId="45" fillId="0" borderId="3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32" fillId="0" borderId="0"/>
    <xf numFmtId="0" fontId="3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7" borderId="31" applyNumberFormat="0" applyAlignment="0" applyProtection="0"/>
    <xf numFmtId="0" fontId="2" fillId="48" borderId="31" applyNumberFormat="0" applyFont="0" applyAlignment="0" applyProtection="0"/>
    <xf numFmtId="0" fontId="46" fillId="41" borderId="32" applyNumberFormat="0" applyAlignment="0" applyProtection="0"/>
    <xf numFmtId="0" fontId="46" fillId="42" borderId="32" applyNumberFormat="0" applyAlignment="0" applyProtection="0"/>
    <xf numFmtId="9" fontId="47" fillId="0" borderId="0" applyFont="0" applyFill="0" applyBorder="0" applyAlignment="0" applyProtection="0"/>
    <xf numFmtId="9" fontId="2" fillId="0" borderId="0" applyFont="0" applyFill="0" applyBorder="0" applyAlignment="0" applyProtection="0"/>
    <xf numFmtId="9" fontId="47" fillId="0" borderId="0" applyFont="0" applyFill="0" applyBorder="0" applyAlignment="0" applyProtection="0"/>
    <xf numFmtId="4" fontId="48" fillId="49" borderId="33" applyNumberFormat="0" applyProtection="0">
      <alignment vertical="center"/>
    </xf>
    <xf numFmtId="4" fontId="48" fillId="49" borderId="33" applyNumberFormat="0" applyProtection="0">
      <alignment vertical="center"/>
    </xf>
    <xf numFmtId="4" fontId="49" fillId="49" borderId="33" applyNumberFormat="0" applyProtection="0">
      <alignment vertical="center"/>
    </xf>
    <xf numFmtId="4" fontId="49" fillId="49" borderId="33" applyNumberFormat="0" applyProtection="0">
      <alignment vertical="center"/>
    </xf>
    <xf numFmtId="4" fontId="50" fillId="49" borderId="33" applyNumberFormat="0" applyProtection="0">
      <alignment horizontal="left" vertical="center" indent="1"/>
    </xf>
    <xf numFmtId="4" fontId="50" fillId="49" borderId="33" applyNumberFormat="0" applyProtection="0">
      <alignment horizontal="left" vertical="center" indent="1"/>
    </xf>
    <xf numFmtId="0" fontId="51" fillId="49" borderId="33" applyNumberFormat="0" applyProtection="0">
      <alignment horizontal="left" vertical="top" indent="1"/>
    </xf>
    <xf numFmtId="4" fontId="50" fillId="50" borderId="0" applyNumberFormat="0" applyProtection="0">
      <alignment horizontal="left" vertical="center" indent="1"/>
    </xf>
    <xf numFmtId="4" fontId="50" fillId="50" borderId="0" applyNumberFormat="0" applyProtection="0">
      <alignment horizontal="left" vertical="center" indent="1"/>
    </xf>
    <xf numFmtId="4" fontId="50" fillId="51" borderId="33" applyNumberFormat="0" applyProtection="0">
      <alignment horizontal="right" vertical="center"/>
    </xf>
    <xf numFmtId="4" fontId="50" fillId="51" borderId="33" applyNumberFormat="0" applyProtection="0">
      <alignment horizontal="right" vertical="center"/>
    </xf>
    <xf numFmtId="4" fontId="50" fillId="52" borderId="33" applyNumberFormat="0" applyProtection="0">
      <alignment horizontal="right" vertical="center"/>
    </xf>
    <xf numFmtId="4" fontId="50" fillId="52" borderId="33" applyNumberFormat="0" applyProtection="0">
      <alignment horizontal="right" vertical="center"/>
    </xf>
    <xf numFmtId="4" fontId="50" fillId="53" borderId="33" applyNumberFormat="0" applyProtection="0">
      <alignment horizontal="right" vertical="center"/>
    </xf>
    <xf numFmtId="4" fontId="50" fillId="53" borderId="33" applyNumberFormat="0" applyProtection="0">
      <alignment horizontal="right" vertical="center"/>
    </xf>
    <xf numFmtId="4" fontId="50" fillId="54" borderId="33" applyNumberFormat="0" applyProtection="0">
      <alignment horizontal="right" vertical="center"/>
    </xf>
    <xf numFmtId="4" fontId="50" fillId="54" borderId="33" applyNumberFormat="0" applyProtection="0">
      <alignment horizontal="right" vertical="center"/>
    </xf>
    <xf numFmtId="4" fontId="50" fillId="55" borderId="33" applyNumberFormat="0" applyProtection="0">
      <alignment horizontal="right" vertical="center"/>
    </xf>
    <xf numFmtId="4" fontId="50" fillId="55" borderId="33" applyNumberFormat="0" applyProtection="0">
      <alignment horizontal="right" vertical="center"/>
    </xf>
    <xf numFmtId="4" fontId="50" fillId="56" borderId="33" applyNumberFormat="0" applyProtection="0">
      <alignment horizontal="right" vertical="center"/>
    </xf>
    <xf numFmtId="4" fontId="50" fillId="56" borderId="33" applyNumberFormat="0" applyProtection="0">
      <alignment horizontal="right" vertical="center"/>
    </xf>
    <xf numFmtId="4" fontId="50" fillId="57" borderId="33" applyNumberFormat="0" applyProtection="0">
      <alignment horizontal="right" vertical="center"/>
    </xf>
    <xf numFmtId="4" fontId="50" fillId="57" borderId="33" applyNumberFormat="0" applyProtection="0">
      <alignment horizontal="right" vertical="center"/>
    </xf>
    <xf numFmtId="4" fontId="50" fillId="58" borderId="33" applyNumberFormat="0" applyProtection="0">
      <alignment horizontal="right" vertical="center"/>
    </xf>
    <xf numFmtId="4" fontId="50" fillId="58" borderId="33" applyNumberFormat="0" applyProtection="0">
      <alignment horizontal="right" vertical="center"/>
    </xf>
    <xf numFmtId="4" fontId="50" fillId="59" borderId="33" applyNumberFormat="0" applyProtection="0">
      <alignment horizontal="right" vertical="center"/>
    </xf>
    <xf numFmtId="4" fontId="50" fillId="59" borderId="33" applyNumberFormat="0" applyProtection="0">
      <alignment horizontal="right" vertical="center"/>
    </xf>
    <xf numFmtId="4" fontId="48" fillId="60" borderId="34" applyNumberFormat="0" applyProtection="0">
      <alignment horizontal="left" vertical="center" indent="1"/>
    </xf>
    <xf numFmtId="4" fontId="48" fillId="60" borderId="34" applyNumberFormat="0" applyProtection="0">
      <alignment horizontal="left" vertical="center" indent="1"/>
    </xf>
    <xf numFmtId="4" fontId="48" fillId="61" borderId="0" applyNumberFormat="0" applyProtection="0">
      <alignment horizontal="left" vertical="center" indent="1"/>
    </xf>
    <xf numFmtId="4" fontId="48" fillId="61" borderId="0" applyNumberFormat="0" applyProtection="0">
      <alignment horizontal="left" vertical="center" indent="1"/>
    </xf>
    <xf numFmtId="4" fontId="48" fillId="50" borderId="0" applyNumberFormat="0" applyProtection="0">
      <alignment horizontal="left" vertical="center" indent="1"/>
    </xf>
    <xf numFmtId="4" fontId="48" fillId="50" borderId="0" applyNumberFormat="0" applyProtection="0">
      <alignment horizontal="left" vertical="center" indent="1"/>
    </xf>
    <xf numFmtId="4" fontId="50" fillId="61" borderId="33" applyNumberFormat="0" applyProtection="0">
      <alignment horizontal="right" vertical="center"/>
    </xf>
    <xf numFmtId="4" fontId="50" fillId="61" borderId="33" applyNumberFormat="0" applyProtection="0">
      <alignment horizontal="right" vertical="center"/>
    </xf>
    <xf numFmtId="4" fontId="52" fillId="61" borderId="0" applyNumberFormat="0" applyProtection="0">
      <alignment horizontal="left" vertical="center" indent="1"/>
    </xf>
    <xf numFmtId="4" fontId="52" fillId="61" borderId="0" applyNumberFormat="0" applyProtection="0">
      <alignment horizontal="left" vertical="center" indent="1"/>
    </xf>
    <xf numFmtId="4" fontId="52" fillId="50" borderId="0" applyNumberFormat="0" applyProtection="0">
      <alignment horizontal="left" vertical="center" indent="1"/>
    </xf>
    <xf numFmtId="4" fontId="52" fillId="50" borderId="0" applyNumberFormat="0" applyProtection="0">
      <alignment horizontal="left" vertical="center" indent="1"/>
    </xf>
    <xf numFmtId="0" fontId="2" fillId="50" borderId="33" applyNumberFormat="0" applyProtection="0">
      <alignment horizontal="left" vertical="center" indent="1"/>
    </xf>
    <xf numFmtId="0" fontId="2" fillId="50" borderId="33" applyNumberFormat="0" applyProtection="0">
      <alignment horizontal="left" vertical="center" indent="1"/>
    </xf>
    <xf numFmtId="0" fontId="2" fillId="50" borderId="33" applyNumberFormat="0" applyProtection="0">
      <alignment horizontal="left" vertical="top" indent="1"/>
    </xf>
    <xf numFmtId="0" fontId="2" fillId="50" borderId="33" applyNumberFormat="0" applyProtection="0">
      <alignment horizontal="left" vertical="top" indent="1"/>
    </xf>
    <xf numFmtId="0" fontId="2" fillId="62" borderId="33" applyNumberFormat="0" applyProtection="0">
      <alignment horizontal="left" vertical="center" indent="1"/>
    </xf>
    <xf numFmtId="0" fontId="2" fillId="62" borderId="33" applyNumberFormat="0" applyProtection="0">
      <alignment horizontal="left" vertical="center" indent="1"/>
    </xf>
    <xf numFmtId="0" fontId="2" fillId="62" borderId="33" applyNumberFormat="0" applyProtection="0">
      <alignment horizontal="left" vertical="top" indent="1"/>
    </xf>
    <xf numFmtId="0" fontId="2" fillId="62" borderId="33" applyNumberFormat="0" applyProtection="0">
      <alignment horizontal="left" vertical="top" indent="1"/>
    </xf>
    <xf numFmtId="0" fontId="2" fillId="61" borderId="33" applyNumberFormat="0" applyProtection="0">
      <alignment horizontal="left" vertical="center" indent="1"/>
    </xf>
    <xf numFmtId="0" fontId="2" fillId="61" borderId="33" applyNumberFormat="0" applyProtection="0">
      <alignment horizontal="left" vertical="center" indent="1"/>
    </xf>
    <xf numFmtId="0" fontId="2" fillId="61" borderId="33" applyNumberFormat="0" applyProtection="0">
      <alignment horizontal="left" vertical="top" indent="1"/>
    </xf>
    <xf numFmtId="0" fontId="2" fillId="61" borderId="33" applyNumberFormat="0" applyProtection="0">
      <alignment horizontal="left" vertical="top" indent="1"/>
    </xf>
    <xf numFmtId="0" fontId="2" fillId="63" borderId="33" applyNumberFormat="0" applyProtection="0">
      <alignment horizontal="left" vertical="center" indent="1"/>
    </xf>
    <xf numFmtId="0" fontId="2" fillId="63" borderId="33" applyNumberFormat="0" applyProtection="0">
      <alignment horizontal="left" vertical="center" indent="1"/>
    </xf>
    <xf numFmtId="0" fontId="2" fillId="63" borderId="33" applyNumberFormat="0" applyProtection="0">
      <alignment horizontal="left" vertical="top" indent="1"/>
    </xf>
    <xf numFmtId="0" fontId="2" fillId="63" borderId="33" applyNumberFormat="0" applyProtection="0">
      <alignment horizontal="left" vertical="top" indent="1"/>
    </xf>
    <xf numFmtId="4" fontId="50" fillId="63" borderId="33" applyNumberFormat="0" applyProtection="0">
      <alignment vertical="center"/>
    </xf>
    <xf numFmtId="4" fontId="50" fillId="63" borderId="33" applyNumberFormat="0" applyProtection="0">
      <alignment vertical="center"/>
    </xf>
    <xf numFmtId="4" fontId="53" fillId="63" borderId="33" applyNumberFormat="0" applyProtection="0">
      <alignment vertical="center"/>
    </xf>
    <xf numFmtId="4" fontId="53" fillId="63" borderId="33" applyNumberFormat="0" applyProtection="0">
      <alignment vertical="center"/>
    </xf>
    <xf numFmtId="4" fontId="48" fillId="61" borderId="35" applyNumberFormat="0" applyProtection="0">
      <alignment horizontal="left" vertical="center" indent="1"/>
    </xf>
    <xf numFmtId="4" fontId="48" fillId="61" borderId="35" applyNumberFormat="0" applyProtection="0">
      <alignment horizontal="left" vertical="center" indent="1"/>
    </xf>
    <xf numFmtId="0" fontId="52" fillId="64" borderId="33" applyNumberFormat="0" applyProtection="0">
      <alignment horizontal="left" vertical="top" indent="1"/>
    </xf>
    <xf numFmtId="4" fontId="50" fillId="63" borderId="33" applyNumberFormat="0" applyProtection="0">
      <alignment horizontal="right" vertical="center"/>
    </xf>
    <xf numFmtId="4" fontId="50" fillId="63" borderId="33" applyNumberFormat="0" applyProtection="0">
      <alignment horizontal="right" vertical="center"/>
    </xf>
    <xf numFmtId="4" fontId="53" fillId="63" borderId="33" applyNumberFormat="0" applyProtection="0">
      <alignment horizontal="right" vertical="center"/>
    </xf>
    <xf numFmtId="4" fontId="53" fillId="63" borderId="33" applyNumberFormat="0" applyProtection="0">
      <alignment horizontal="right" vertical="center"/>
    </xf>
    <xf numFmtId="4" fontId="48" fillId="61" borderId="33" applyNumberFormat="0" applyProtection="0">
      <alignment horizontal="left" vertical="center" indent="1"/>
    </xf>
    <xf numFmtId="4" fontId="48" fillId="61" borderId="33" applyNumberFormat="0" applyProtection="0">
      <alignment horizontal="left" vertical="center" indent="1"/>
    </xf>
    <xf numFmtId="0" fontId="52" fillId="62" borderId="33" applyNumberFormat="0" applyProtection="0">
      <alignment horizontal="left" vertical="top" indent="1"/>
    </xf>
    <xf numFmtId="4" fontId="54" fillId="62" borderId="35" applyNumberFormat="0" applyProtection="0">
      <alignment horizontal="left" vertical="center" indent="1"/>
    </xf>
    <xf numFmtId="4" fontId="54" fillId="62" borderId="35" applyNumberFormat="0" applyProtection="0">
      <alignment horizontal="left" vertical="center" indent="1"/>
    </xf>
    <xf numFmtId="4" fontId="55" fillId="63" borderId="33" applyNumberFormat="0" applyProtection="0">
      <alignment horizontal="right" vertical="center"/>
    </xf>
    <xf numFmtId="4" fontId="55" fillId="63" borderId="33" applyNumberFormat="0" applyProtection="0">
      <alignment horizontal="right" vertical="center"/>
    </xf>
    <xf numFmtId="0" fontId="56" fillId="65" borderId="0"/>
    <xf numFmtId="0" fontId="57" fillId="65" borderId="0"/>
    <xf numFmtId="0" fontId="58" fillId="0" borderId="0" applyNumberFormat="0" applyFill="0" applyBorder="0" applyAlignment="0" applyProtection="0"/>
    <xf numFmtId="0" fontId="59" fillId="0" borderId="36" applyNumberFormat="0" applyFill="0" applyAlignment="0" applyProtection="0"/>
    <xf numFmtId="42" fontId="2" fillId="0" borderId="0" applyFont="0" applyFill="0" applyBorder="0" applyAlignment="0" applyProtection="0"/>
    <xf numFmtId="44" fontId="2" fillId="0" borderId="0" applyFont="0" applyFill="0" applyBorder="0" applyAlignment="0" applyProtection="0"/>
    <xf numFmtId="0" fontId="60" fillId="0" borderId="0" applyNumberFormat="0" applyFill="0" applyBorder="0" applyAlignment="0" applyProtection="0"/>
  </cellStyleXfs>
  <cellXfs count="72">
    <xf numFmtId="0" fontId="0" fillId="0" borderId="0" xfId="0"/>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center" vertical="center"/>
    </xf>
    <xf numFmtId="0" fontId="6" fillId="2" borderId="0" xfId="0" applyFont="1" applyFill="1" applyBorder="1" applyAlignment="1">
      <alignment horizontal="right" vertical="center"/>
    </xf>
    <xf numFmtId="0" fontId="7" fillId="2" borderId="1" xfId="0" applyFont="1" applyFill="1" applyBorder="1" applyAlignment="1">
      <alignment horizontal="right" vertical="center"/>
    </xf>
    <xf numFmtId="0" fontId="10" fillId="2" borderId="0" xfId="0" applyFont="1" applyFill="1" applyAlignment="1">
      <alignment vertical="center" wrapText="1"/>
    </xf>
    <xf numFmtId="0" fontId="11" fillId="2" borderId="0" xfId="0" applyFont="1" applyFill="1" applyAlignment="1">
      <alignment vertical="center" wrapText="1"/>
    </xf>
    <xf numFmtId="0" fontId="8" fillId="3" borderId="8" xfId="0" applyFont="1" applyFill="1" applyBorder="1" applyAlignment="1">
      <alignment horizontal="center" vertical="center" wrapText="1"/>
    </xf>
    <xf numFmtId="0" fontId="0" fillId="3" borderId="8" xfId="0" applyFont="1" applyFill="1" applyBorder="1" applyAlignment="1">
      <alignment vertical="center" wrapText="1"/>
    </xf>
    <xf numFmtId="3" fontId="0" fillId="2" borderId="9" xfId="0" applyNumberFormat="1" applyFont="1" applyFill="1" applyBorder="1" applyAlignment="1">
      <alignment horizontal="center" vertical="center"/>
    </xf>
    <xf numFmtId="37" fontId="0" fillId="2" borderId="9" xfId="0" applyNumberFormat="1" applyFont="1" applyFill="1" applyBorder="1" applyAlignment="1">
      <alignment horizontal="center" vertical="center" wrapText="1"/>
    </xf>
    <xf numFmtId="0" fontId="12" fillId="3" borderId="8" xfId="0" applyFont="1" applyFill="1" applyBorder="1" applyAlignment="1">
      <alignment vertical="center" wrapText="1"/>
    </xf>
    <xf numFmtId="37" fontId="12" fillId="2" borderId="9" xfId="0" applyNumberFormat="1" applyFont="1" applyFill="1" applyBorder="1" applyAlignment="1">
      <alignment horizontal="center" vertical="center" wrapText="1"/>
    </xf>
    <xf numFmtId="3" fontId="12" fillId="2" borderId="9" xfId="0" applyNumberFormat="1" applyFont="1" applyFill="1" applyBorder="1" applyAlignment="1">
      <alignment horizontal="center" vertical="center"/>
    </xf>
    <xf numFmtId="3" fontId="12" fillId="0" borderId="9" xfId="0" applyNumberFormat="1" applyFont="1" applyFill="1" applyBorder="1" applyAlignment="1">
      <alignment horizontal="center" vertical="center"/>
    </xf>
    <xf numFmtId="165" fontId="10" fillId="2" borderId="0" xfId="1" applyNumberFormat="1" applyFont="1" applyFill="1" applyAlignment="1">
      <alignment vertical="center" wrapText="1"/>
    </xf>
    <xf numFmtId="3" fontId="8" fillId="2" borderId="12" xfId="0" applyNumberFormat="1" applyFont="1" applyFill="1" applyBorder="1" applyAlignment="1">
      <alignment horizontal="center" vertical="center"/>
    </xf>
    <xf numFmtId="0" fontId="13" fillId="2" borderId="13" xfId="0" applyFont="1" applyFill="1" applyBorder="1" applyAlignment="1">
      <alignment vertical="center"/>
    </xf>
    <xf numFmtId="0" fontId="11" fillId="2" borderId="0" xfId="0" applyFont="1" applyFill="1" applyAlignment="1">
      <alignment vertical="center"/>
    </xf>
    <xf numFmtId="0" fontId="7" fillId="2" borderId="0" xfId="0" applyFont="1" applyFill="1" applyBorder="1" applyAlignment="1">
      <alignment vertical="center"/>
    </xf>
    <xf numFmtId="0" fontId="13" fillId="2" borderId="0" xfId="0" applyFont="1" applyFill="1" applyBorder="1" applyAlignment="1">
      <alignment vertical="center"/>
    </xf>
    <xf numFmtId="0" fontId="12" fillId="2" borderId="0" xfId="0" applyFont="1" applyFill="1"/>
    <xf numFmtId="0" fontId="6" fillId="2" borderId="0" xfId="0" applyFont="1" applyFill="1" applyAlignment="1">
      <alignment vertical="center"/>
    </xf>
    <xf numFmtId="165" fontId="6" fillId="2" borderId="0" xfId="0" applyNumberFormat="1" applyFont="1" applyFill="1" applyAlignment="1">
      <alignment horizontal="center" vertical="center"/>
    </xf>
    <xf numFmtId="0" fontId="4" fillId="2" borderId="0" xfId="0" applyFont="1" applyFill="1" applyAlignment="1">
      <alignment horizontal="center" vertical="center"/>
    </xf>
    <xf numFmtId="0" fontId="5" fillId="2" borderId="0" xfId="0" applyNumberFormat="1" applyFont="1" applyFill="1" applyAlignment="1">
      <alignment vertical="center"/>
    </xf>
    <xf numFmtId="3" fontId="5" fillId="2" borderId="0" xfId="0" applyNumberFormat="1" applyFont="1" applyFill="1" applyAlignment="1">
      <alignment vertical="center"/>
    </xf>
    <xf numFmtId="0" fontId="8" fillId="3" borderId="16" xfId="0" applyNumberFormat="1" applyFont="1" applyFill="1" applyBorder="1" applyAlignment="1">
      <alignment horizontal="center" vertical="center"/>
    </xf>
    <xf numFmtId="49" fontId="8" fillId="3" borderId="16" xfId="0" applyNumberFormat="1" applyFont="1" applyFill="1" applyBorder="1" applyAlignment="1">
      <alignment horizontal="center" vertical="center"/>
    </xf>
    <xf numFmtId="49" fontId="8" fillId="3" borderId="16" xfId="0" applyNumberFormat="1" applyFont="1" applyFill="1" applyBorder="1" applyAlignment="1">
      <alignment horizontal="center" vertical="center" wrapText="1"/>
    </xf>
    <xf numFmtId="0" fontId="8" fillId="3" borderId="17" xfId="0" applyFont="1" applyFill="1" applyBorder="1" applyAlignment="1">
      <alignment horizontal="left" vertical="center"/>
    </xf>
    <xf numFmtId="0" fontId="8" fillId="3" borderId="18" xfId="0" applyFont="1" applyFill="1" applyBorder="1" applyAlignment="1">
      <alignment horizontal="left" vertical="center"/>
    </xf>
    <xf numFmtId="3" fontId="8" fillId="2" borderId="9" xfId="1" applyNumberFormat="1" applyFont="1" applyFill="1" applyBorder="1" applyAlignment="1">
      <alignment horizontal="center" vertical="center"/>
    </xf>
    <xf numFmtId="0" fontId="10" fillId="2" borderId="0" xfId="0" applyFont="1" applyFill="1" applyAlignment="1">
      <alignment vertical="center"/>
    </xf>
    <xf numFmtId="0" fontId="8" fillId="3" borderId="19" xfId="0" applyFont="1" applyFill="1" applyBorder="1" applyAlignment="1">
      <alignment horizontal="left" vertical="center"/>
    </xf>
    <xf numFmtId="0" fontId="0" fillId="3" borderId="20" xfId="0" applyFont="1" applyFill="1" applyBorder="1" applyAlignment="1">
      <alignment horizontal="left" vertical="center"/>
    </xf>
    <xf numFmtId="3" fontId="0" fillId="2" borderId="9" xfId="1" applyNumberFormat="1" applyFont="1" applyFill="1" applyBorder="1" applyAlignment="1">
      <alignment horizontal="center" vertical="center"/>
    </xf>
    <xf numFmtId="0" fontId="0" fillId="3" borderId="19" xfId="0" applyFont="1" applyFill="1" applyBorder="1" applyAlignment="1">
      <alignment horizontal="left" vertical="center"/>
    </xf>
    <xf numFmtId="164" fontId="0" fillId="2" borderId="9" xfId="2" applyNumberFormat="1" applyFont="1" applyFill="1" applyBorder="1" applyAlignment="1">
      <alignment horizontal="center" vertical="center"/>
    </xf>
    <xf numFmtId="3" fontId="0" fillId="2" borderId="9" xfId="2" applyNumberFormat="1" applyFont="1" applyFill="1" applyBorder="1" applyAlignment="1">
      <alignment horizontal="center" vertical="center"/>
    </xf>
    <xf numFmtId="0" fontId="0" fillId="3" borderId="19" xfId="0" applyFont="1" applyFill="1" applyBorder="1" applyAlignment="1">
      <alignment horizontal="right" vertical="center"/>
    </xf>
    <xf numFmtId="3" fontId="8" fillId="2" borderId="7" xfId="1" applyNumberFormat="1" applyFont="1" applyFill="1" applyBorder="1" applyAlignment="1">
      <alignment horizontal="center" vertical="center"/>
    </xf>
    <xf numFmtId="164" fontId="8" fillId="2" borderId="7" xfId="2" applyNumberFormat="1" applyFont="1" applyFill="1" applyBorder="1" applyAlignment="1">
      <alignment horizontal="center" vertical="center"/>
    </xf>
    <xf numFmtId="0" fontId="11" fillId="2" borderId="0" xfId="0" applyFont="1" applyFill="1" applyAlignment="1">
      <alignment horizontal="left" vertical="top"/>
    </xf>
    <xf numFmtId="0" fontId="13" fillId="2" borderId="0" xfId="0" applyFont="1" applyFill="1" applyAlignment="1">
      <alignment horizontal="left" vertical="top"/>
    </xf>
    <xf numFmtId="0" fontId="7" fillId="2" borderId="0" xfId="0" applyFont="1" applyFill="1" applyAlignment="1">
      <alignment horizontal="left" vertical="top"/>
    </xf>
    <xf numFmtId="0" fontId="7" fillId="2" borderId="0" xfId="3" applyFont="1" applyFill="1" applyBorder="1" applyAlignment="1">
      <alignment horizontal="left" vertical="top" wrapText="1"/>
    </xf>
    <xf numFmtId="0" fontId="11" fillId="2" borderId="0" xfId="0" applyFont="1" applyFill="1" applyAlignment="1">
      <alignment horizontal="center" vertical="center"/>
    </xf>
    <xf numFmtId="1" fontId="11" fillId="2" borderId="0" xfId="0" applyNumberFormat="1" applyFont="1" applyFill="1" applyAlignment="1">
      <alignment horizontal="center" vertical="center"/>
    </xf>
    <xf numFmtId="0" fontId="14" fillId="2" borderId="0" xfId="0" applyFont="1" applyFill="1" applyAlignment="1">
      <alignment vertical="center"/>
    </xf>
    <xf numFmtId="0" fontId="7" fillId="2" borderId="0" xfId="3" applyFont="1" applyFill="1" applyBorder="1" applyAlignment="1">
      <alignment horizontal="left" vertical="top" wrapText="1"/>
    </xf>
    <xf numFmtId="3" fontId="0" fillId="2" borderId="0" xfId="0" applyNumberFormat="1" applyFont="1" applyFill="1" applyBorder="1" applyAlignment="1">
      <alignment horizontal="center" vertical="center"/>
    </xf>
    <xf numFmtId="49" fontId="8" fillId="3" borderId="4"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165" fontId="8" fillId="2" borderId="10" xfId="1" applyNumberFormat="1" applyFont="1" applyFill="1" applyBorder="1" applyAlignment="1">
      <alignment horizontal="center" vertical="center" wrapText="1"/>
    </xf>
    <xf numFmtId="165" fontId="8" fillId="2" borderId="11" xfId="1"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49" fontId="8" fillId="3" borderId="5" xfId="0"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7" fillId="2" borderId="0" xfId="3" applyFont="1" applyFill="1" applyBorder="1" applyAlignment="1">
      <alignment horizontal="left" vertical="top" wrapText="1"/>
    </xf>
    <xf numFmtId="0" fontId="0" fillId="2" borderId="0" xfId="0" applyFill="1" applyBorder="1" applyAlignment="1">
      <alignment horizontal="left" vertical="top" wrapText="1"/>
    </xf>
    <xf numFmtId="0" fontId="0" fillId="3" borderId="19" xfId="0" applyFont="1" applyFill="1" applyBorder="1" applyAlignment="1">
      <alignment horizontal="left" vertical="center"/>
    </xf>
    <xf numFmtId="0" fontId="0" fillId="3" borderId="20" xfId="0" applyFont="1" applyFill="1" applyBorder="1" applyAlignment="1">
      <alignment horizontal="left" vertical="center"/>
    </xf>
    <xf numFmtId="0" fontId="13" fillId="2" borderId="23" xfId="0" applyFont="1" applyFill="1" applyBorder="1" applyAlignment="1">
      <alignment horizontal="left" vertical="top" wrapText="1"/>
    </xf>
    <xf numFmtId="0" fontId="13" fillId="2" borderId="0" xfId="0" applyFont="1" applyFill="1" applyBorder="1" applyAlignment="1">
      <alignment horizontal="left" vertical="top" wrapText="1"/>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8" fillId="3" borderId="14" xfId="0" applyFont="1" applyFill="1" applyBorder="1" applyAlignment="1">
      <alignment horizontal="center" vertical="center" wrapText="1"/>
    </xf>
    <xf numFmtId="0" fontId="0" fillId="3" borderId="15" xfId="0" applyFont="1" applyFill="1" applyBorder="1" applyAlignment="1">
      <alignment horizontal="center" vertical="center" wrapText="1"/>
    </xf>
  </cellXfs>
  <cellStyles count="467">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_x000d__x000a_Width=797_x000d__x000a_Height=554_x000d__x000a__x000d__x000a_[Code]_x000d__x000a_Code0=/nyf50_x000d__x000a_Code1=4500000136_x000d__x000a_Code2=ME23_x000d__x000a_Code3=4500002322_x000d__x000a_Code4=#_x000d__x000a_Code5=MB01_x000d__x000a_" xfId="6"/>
    <cellStyle name="]_x000d__x000a_Width=797_x000d__x000a_Height=554_x000d__x000a__x000d__x000a_[Code]_x000d__x000a_Code0=/nyf50_x000d__x000a_Code1=4500000136_x000d__x000a_Code2=ME23_x000d__x000a_Code3=4500002322_x000d__x000a_Code4=#_x000d__x000a_Code5=MB01_x000d__x000a_ 2" xfId="7"/>
    <cellStyle name="_Rid_10_xt_ml_s31" xfId="8"/>
    <cellStyle name="_Rid_10_xt_ml_s31 2" xfId="9"/>
    <cellStyle name="_Rid_10_xt_ml_s6" xfId="10"/>
    <cellStyle name="_Rid_10_xt_ml_s6 2" xfId="11"/>
    <cellStyle name="_Rid_10_xt_ml_s7" xfId="12"/>
    <cellStyle name="_Rid_10_xt_ml_s7 2" xfId="13"/>
    <cellStyle name="_Rid_10_xt_mv_s12" xfId="14"/>
    <cellStyle name="_Rid_10_xt_mv_s12 2" xfId="15"/>
    <cellStyle name="_Rid_10_xt_mv_s13" xfId="16"/>
    <cellStyle name="_Rid_10_xt_mv_s13 2" xfId="17"/>
    <cellStyle name="_Rid_10_xt_s33" xfId="18"/>
    <cellStyle name="_Rid_10_xt_s33 2" xfId="19"/>
    <cellStyle name="_Rid_10_xt_s6" xfId="20"/>
    <cellStyle name="_Rid_10_xt_s6 2" xfId="21"/>
    <cellStyle name="_Rid_11_s0" xfId="22"/>
    <cellStyle name="_Rid_11_s0 2" xfId="23"/>
    <cellStyle name="_Rid_11_s1" xfId="24"/>
    <cellStyle name="_Rid_11_s1 2" xfId="25"/>
    <cellStyle name="_Rid_11_s2_s3" xfId="26"/>
    <cellStyle name="_Rid_11_s2_s3 2" xfId="27"/>
    <cellStyle name="_Rid_11_xt_ml_s13" xfId="28"/>
    <cellStyle name="_Rid_11_xt_ml_s13 2" xfId="29"/>
    <cellStyle name="_Rid_11_xt_ml_s8" xfId="30"/>
    <cellStyle name="_Rid_11_xt_ml_s8 2" xfId="31"/>
    <cellStyle name="_Rid_11_xt_xm" xfId="32"/>
    <cellStyle name="_Rid_11_xt_xm 2" xfId="33"/>
    <cellStyle name="_Rid_12_cl_s3" xfId="34"/>
    <cellStyle name="_Rid_12_cl_s3 2" xfId="35"/>
    <cellStyle name="_Rid_12_cl_s5" xfId="36"/>
    <cellStyle name="_Rid_12_cl_s5 2" xfId="37"/>
    <cellStyle name="_Rid_12_s0" xfId="38"/>
    <cellStyle name="_Rid_12_s0 2" xfId="39"/>
    <cellStyle name="_Rid_12_s1" xfId="40"/>
    <cellStyle name="_Rid_12_s1 2" xfId="41"/>
    <cellStyle name="_Rid_12_s2" xfId="42"/>
    <cellStyle name="_Rid_12_s2 2" xfId="43"/>
    <cellStyle name="_Rid_12_xt_cv_s11_s10" xfId="44"/>
    <cellStyle name="_Rid_12_xt_cv_s11_s10 2" xfId="45"/>
    <cellStyle name="_Rid_12_xt_cv_s12_s10" xfId="46"/>
    <cellStyle name="_Rid_12_xt_cv_s12_s10 2" xfId="47"/>
    <cellStyle name="_Rid_12_xt_cv_s13_s10" xfId="48"/>
    <cellStyle name="_Rid_12_xt_cv_s13_s10 2" xfId="49"/>
    <cellStyle name="_Rid_12_xt_cv_s14_s10" xfId="50"/>
    <cellStyle name="_Rid_12_xt_cv_s14_s10 2" xfId="51"/>
    <cellStyle name="_Rid_12_xt_cv_s15_s10" xfId="52"/>
    <cellStyle name="_Rid_12_xt_cv_s15_s10 2" xfId="53"/>
    <cellStyle name="_Rid_12_xt_cv_s16_s10" xfId="54"/>
    <cellStyle name="_Rid_12_xt_cv_s16_s10 2" xfId="55"/>
    <cellStyle name="_Rid_12_xt_cv_s17_s10" xfId="56"/>
    <cellStyle name="_Rid_12_xt_cv_s17_s10 2" xfId="57"/>
    <cellStyle name="_Rid_12_xt_cv_s18_s10" xfId="58"/>
    <cellStyle name="_Rid_12_xt_cv_s18_s10 2" xfId="59"/>
    <cellStyle name="_Rid_12_xt_cv_s20_s10" xfId="60"/>
    <cellStyle name="_Rid_12_xt_cv_s20_s10 2" xfId="61"/>
    <cellStyle name="_Rid_12_xt_cv_s21_s10" xfId="62"/>
    <cellStyle name="_Rid_12_xt_cv_s21_s10 2" xfId="63"/>
    <cellStyle name="_Rid_12_xt_cv_s22_s10" xfId="64"/>
    <cellStyle name="_Rid_12_xt_cv_s22_s10 2" xfId="65"/>
    <cellStyle name="_Rid_12_xt_cv_s23_s10" xfId="66"/>
    <cellStyle name="_Rid_12_xt_cv_s23_s10 2" xfId="67"/>
    <cellStyle name="_Rid_12_xt_cv_s24_s10" xfId="68"/>
    <cellStyle name="_Rid_12_xt_cv_s24_s10 2" xfId="69"/>
    <cellStyle name="_Rid_12_xt_cv_s25_s10" xfId="70"/>
    <cellStyle name="_Rid_12_xt_cv_s25_s10 2" xfId="71"/>
    <cellStyle name="_Rid_12_xt_cv_s9_s10" xfId="72"/>
    <cellStyle name="_Rid_12_xt_cv_s9_s10 2" xfId="73"/>
    <cellStyle name="_Rid_12_xt_ml_s19" xfId="74"/>
    <cellStyle name="_Rid_12_xt_ml_s19 2" xfId="75"/>
    <cellStyle name="_Rid_12_xt_ml_s8" xfId="76"/>
    <cellStyle name="_Rid_12_xt_ml_s8 2" xfId="77"/>
    <cellStyle name="_Rid_12_xt_s26" xfId="78"/>
    <cellStyle name="_Rid_12_xt_s26 2" xfId="79"/>
    <cellStyle name="_Rid_12_xt_s4" xfId="80"/>
    <cellStyle name="_Rid_12_xt_s4 2" xfId="81"/>
    <cellStyle name="_Rid_12_xt_s6" xfId="82"/>
    <cellStyle name="_Rid_12_xt_s6 2" xfId="83"/>
    <cellStyle name="_Rid_12_xt_s7" xfId="84"/>
    <cellStyle name="_Rid_12_xt_s7 2" xfId="85"/>
    <cellStyle name="_Rid_12_xt_xm" xfId="86"/>
    <cellStyle name="_Rid_12_xt_xm 2" xfId="87"/>
    <cellStyle name="_Rid_13_cl_s3" xfId="88"/>
    <cellStyle name="_Rid_13_cl_s3 2" xfId="89"/>
    <cellStyle name="_Rid_13_cl_s5" xfId="90"/>
    <cellStyle name="_Rid_13_cl_s5 2" xfId="91"/>
    <cellStyle name="_Rid_13_cl_s7" xfId="92"/>
    <cellStyle name="_Rid_13_cl_s7 2" xfId="93"/>
    <cellStyle name="_Rid_13_s0" xfId="94"/>
    <cellStyle name="_Rid_13_s0 2" xfId="95"/>
    <cellStyle name="_Rid_13_s1" xfId="96"/>
    <cellStyle name="_Rid_13_s1 2" xfId="97"/>
    <cellStyle name="_Rid_13_s2" xfId="98"/>
    <cellStyle name="_Rid_13_s2 2" xfId="99"/>
    <cellStyle name="_Rid_13_xt_cv_s10_s6" xfId="100"/>
    <cellStyle name="_Rid_13_xt_cv_s10_s6 2" xfId="101"/>
    <cellStyle name="_Rid_13_xt_cv_s11_s6" xfId="102"/>
    <cellStyle name="_Rid_13_xt_cv_s11_s6 2" xfId="103"/>
    <cellStyle name="_Rid_13_xt_cv_s12_s6" xfId="104"/>
    <cellStyle name="_Rid_13_xt_cv_s12_s6 2" xfId="105"/>
    <cellStyle name="_Rid_13_xt_cv_s13_s6" xfId="106"/>
    <cellStyle name="_Rid_13_xt_cv_s13_s6 2" xfId="107"/>
    <cellStyle name="_Rid_13_xt_cv_s14_s6" xfId="108"/>
    <cellStyle name="_Rid_13_xt_cv_s14_s6 2" xfId="109"/>
    <cellStyle name="_Rid_13_xt_cv_s15_s6" xfId="110"/>
    <cellStyle name="_Rid_13_xt_cv_s15_s6 2" xfId="111"/>
    <cellStyle name="_Rid_13_xt_cv_s16_s6" xfId="112"/>
    <cellStyle name="_Rid_13_xt_cv_s16_s6 2" xfId="113"/>
    <cellStyle name="_Rid_13_xt_cv_s17_s6" xfId="114"/>
    <cellStyle name="_Rid_13_xt_cv_s17_s6 2" xfId="115"/>
    <cellStyle name="_Rid_13_xt_cv_s18_s6" xfId="116"/>
    <cellStyle name="_Rid_13_xt_cv_s18_s6 2" xfId="117"/>
    <cellStyle name="_Rid_13_xt_cv_s20_s6" xfId="118"/>
    <cellStyle name="_Rid_13_xt_cv_s20_s6 2" xfId="119"/>
    <cellStyle name="_Rid_13_xt_cv_s21_s6" xfId="120"/>
    <cellStyle name="_Rid_13_xt_cv_s21_s6 2" xfId="121"/>
    <cellStyle name="_Rid_13_xt_cv_s22_s6" xfId="122"/>
    <cellStyle name="_Rid_13_xt_cv_s22_s6 2" xfId="123"/>
    <cellStyle name="_Rid_13_xt_cv_s9_s6" xfId="124"/>
    <cellStyle name="_Rid_13_xt_cv_s9_s6 2" xfId="125"/>
    <cellStyle name="_Rid_13_xt_ml_s19" xfId="126"/>
    <cellStyle name="_Rid_13_xt_ml_s19 2" xfId="127"/>
    <cellStyle name="_Rid_13_xt_ml_s8" xfId="128"/>
    <cellStyle name="_Rid_13_xt_ml_s8 2" xfId="129"/>
    <cellStyle name="_Rid_13_xt_s23" xfId="130"/>
    <cellStyle name="_Rid_13_xt_s23 2" xfId="131"/>
    <cellStyle name="_Rid_13_xt_s4" xfId="132"/>
    <cellStyle name="_Rid_13_xt_s4 2" xfId="133"/>
    <cellStyle name="_Rid_13_xt_xm" xfId="134"/>
    <cellStyle name="_Rid_13_xt_xm 2" xfId="135"/>
    <cellStyle name="=C:\WINNT35\SYSTEM32\COMMAND.COM" xfId="136"/>
    <cellStyle name="=C:\WINNT35\SYSTEM32\COMMAND.COM 2" xfId="137"/>
    <cellStyle name="20% - Accent1 2" xfId="138"/>
    <cellStyle name="20% - Accent1 3" xfId="139"/>
    <cellStyle name="20% - Accent2 2" xfId="140"/>
    <cellStyle name="20% - Accent2 3" xfId="141"/>
    <cellStyle name="20% - Accent3 2" xfId="142"/>
    <cellStyle name="20% - Accent3 3" xfId="143"/>
    <cellStyle name="20% - Accent4 2" xfId="144"/>
    <cellStyle name="20% - Accent4 3" xfId="145"/>
    <cellStyle name="20% - Accent5 2" xfId="146"/>
    <cellStyle name="20% - Accent5 3" xfId="147"/>
    <cellStyle name="20% - Accent6 2" xfId="148"/>
    <cellStyle name="20% - Accent6 3" xfId="149"/>
    <cellStyle name="40% - Accent1 2" xfId="150"/>
    <cellStyle name="40% - Accent1 3" xfId="151"/>
    <cellStyle name="40% - Accent2 2" xfId="152"/>
    <cellStyle name="40% - Accent2 3" xfId="153"/>
    <cellStyle name="40% - Accent3 2" xfId="154"/>
    <cellStyle name="40% - Accent3 3" xfId="155"/>
    <cellStyle name="40% - Accent4 2" xfId="156"/>
    <cellStyle name="40% - Accent4 3" xfId="157"/>
    <cellStyle name="40% - Accent5 2" xfId="158"/>
    <cellStyle name="40% - Accent5 3" xfId="159"/>
    <cellStyle name="40% - Accent6 2" xfId="160"/>
    <cellStyle name="40% - Accent6 3" xfId="161"/>
    <cellStyle name="60% - Accent1 2" xfId="162"/>
    <cellStyle name="60% - Accent1 3" xfId="163"/>
    <cellStyle name="60% - Accent2 2" xfId="164"/>
    <cellStyle name="60% - Accent2 3" xfId="165"/>
    <cellStyle name="60% - Accent3 2" xfId="166"/>
    <cellStyle name="60% - Accent3 3" xfId="167"/>
    <cellStyle name="60% - Accent4 2" xfId="168"/>
    <cellStyle name="60% - Accent4 3" xfId="169"/>
    <cellStyle name="60% - Accent5 2" xfId="170"/>
    <cellStyle name="60% - Accent5 3" xfId="171"/>
    <cellStyle name="60% - Accent6 2" xfId="172"/>
    <cellStyle name="60% - Accent6 3" xfId="173"/>
    <cellStyle name="Accent1 2" xfId="174"/>
    <cellStyle name="Accent1 3" xfId="175"/>
    <cellStyle name="Accent2 2" xfId="176"/>
    <cellStyle name="Accent2 3" xfId="177"/>
    <cellStyle name="Accent3 2" xfId="178"/>
    <cellStyle name="Accent3 3" xfId="179"/>
    <cellStyle name="Accent4 2" xfId="180"/>
    <cellStyle name="Accent4 3" xfId="181"/>
    <cellStyle name="Accent5 2" xfId="182"/>
    <cellStyle name="Accent5 3" xfId="183"/>
    <cellStyle name="Accent6 2" xfId="184"/>
    <cellStyle name="Accent6 3" xfId="185"/>
    <cellStyle name="Bad 2" xfId="186"/>
    <cellStyle name="Bad 3" xfId="187"/>
    <cellStyle name="Calculation 2" xfId="188"/>
    <cellStyle name="Calculation 3" xfId="189"/>
    <cellStyle name="Check Cell 2" xfId="190"/>
    <cellStyle name="Check Cell 3" xfId="191"/>
    <cellStyle name="Comma 10" xfId="192"/>
    <cellStyle name="Comma 11" xfId="193"/>
    <cellStyle name="Comma 12" xfId="194"/>
    <cellStyle name="Comma 13" xfId="195"/>
    <cellStyle name="Comma 13 2" xfId="196"/>
    <cellStyle name="Comma 14" xfId="1"/>
    <cellStyle name="Comma 17" xfId="197"/>
    <cellStyle name="Comma 2" xfId="198"/>
    <cellStyle name="Comma 2 2" xfId="199"/>
    <cellStyle name="Comma 2 2 2" xfId="200"/>
    <cellStyle name="Comma 2 3" xfId="201"/>
    <cellStyle name="Comma 3" xfId="202"/>
    <cellStyle name="Comma 3 2" xfId="203"/>
    <cellStyle name="Comma 4" xfId="204"/>
    <cellStyle name="Comma 4 2" xfId="205"/>
    <cellStyle name="Comma 4 2 2" xfId="206"/>
    <cellStyle name="Comma 5" xfId="207"/>
    <cellStyle name="Comma 6" xfId="208"/>
    <cellStyle name="Comma 7" xfId="209"/>
    <cellStyle name="Comma 8" xfId="210"/>
    <cellStyle name="Comma 9" xfId="211"/>
    <cellStyle name="Comma_Table 41a-41b" xfId="2"/>
    <cellStyle name="Currency 2" xfId="212"/>
    <cellStyle name="Currency 3" xfId="213"/>
    <cellStyle name="data_entry" xfId="214"/>
    <cellStyle name="Euro" xfId="215"/>
    <cellStyle name="Euro 2" xfId="216"/>
    <cellStyle name="Explanatory Text 2" xfId="217"/>
    <cellStyle name="Gentia To Excel" xfId="218"/>
    <cellStyle name="Good 2" xfId="219"/>
    <cellStyle name="Good 3" xfId="220"/>
    <cellStyle name="Heading 1 2" xfId="221"/>
    <cellStyle name="Heading 2 2" xfId="222"/>
    <cellStyle name="Heading 3 2" xfId="223"/>
    <cellStyle name="Heading 4 2" xfId="224"/>
    <cellStyle name="Hyperlink 2" xfId="225"/>
    <cellStyle name="Input 2" xfId="226"/>
    <cellStyle name="Input 3" xfId="227"/>
    <cellStyle name="Labels 8p Bold" xfId="228"/>
    <cellStyle name="Labels 8p Bold 2" xfId="229"/>
    <cellStyle name="Linked Cell 2" xfId="230"/>
    <cellStyle name="Migliaia (0)_LINEA GLOBALE" xfId="231"/>
    <cellStyle name="Migliaia_LINEA GLOBALE" xfId="232"/>
    <cellStyle name="Neutral 2" xfId="233"/>
    <cellStyle name="Neutral 3" xfId="234"/>
    <cellStyle name="Normal" xfId="0" builtinId="0"/>
    <cellStyle name="Normal - Style1" xfId="235"/>
    <cellStyle name="Normal - Style2" xfId="236"/>
    <cellStyle name="Normal 10" xfId="237"/>
    <cellStyle name="Normal 100" xfId="238"/>
    <cellStyle name="Normal 101" xfId="239"/>
    <cellStyle name="Normal 102" xfId="240"/>
    <cellStyle name="Normal 103" xfId="241"/>
    <cellStyle name="Normal 104" xfId="242"/>
    <cellStyle name="Normal 105" xfId="243"/>
    <cellStyle name="Normal 106" xfId="244"/>
    <cellStyle name="Normal 107" xfId="245"/>
    <cellStyle name="Normal 108" xfId="246"/>
    <cellStyle name="Normal 109" xfId="247"/>
    <cellStyle name="Normal 11" xfId="248"/>
    <cellStyle name="Normal 110" xfId="249"/>
    <cellStyle name="Normal 111" xfId="250"/>
    <cellStyle name="Normal 112" xfId="251"/>
    <cellStyle name="Normal 113" xfId="252"/>
    <cellStyle name="Normal 114" xfId="253"/>
    <cellStyle name="Normal 115" xfId="254"/>
    <cellStyle name="Normal 116" xfId="255"/>
    <cellStyle name="Normal 117" xfId="256"/>
    <cellStyle name="Normal 118" xfId="257"/>
    <cellStyle name="Normal 119" xfId="258"/>
    <cellStyle name="Normal 12" xfId="259"/>
    <cellStyle name="Normal 120" xfId="260"/>
    <cellStyle name="Normal 121" xfId="261"/>
    <cellStyle name="Normal 122" xfId="262"/>
    <cellStyle name="Normal 123" xfId="263"/>
    <cellStyle name="Normal 124" xfId="264"/>
    <cellStyle name="Normal 125" xfId="265"/>
    <cellStyle name="Normal 126" xfId="266"/>
    <cellStyle name="Normal 127" xfId="267"/>
    <cellStyle name="Normal 128" xfId="268"/>
    <cellStyle name="Normal 129" xfId="269"/>
    <cellStyle name="Normal 13" xfId="270"/>
    <cellStyle name="Normal 130" xfId="271"/>
    <cellStyle name="Normal 131" xfId="272"/>
    <cellStyle name="Normal 132" xfId="273"/>
    <cellStyle name="Normal 133" xfId="274"/>
    <cellStyle name="Normal 134" xfId="275"/>
    <cellStyle name="Normal 135" xfId="276"/>
    <cellStyle name="Normal 136" xfId="277"/>
    <cellStyle name="Normal 137" xfId="278"/>
    <cellStyle name="Normal 138" xfId="279"/>
    <cellStyle name="Normal 139" xfId="280"/>
    <cellStyle name="Normal 14" xfId="281"/>
    <cellStyle name="Normal 15" xfId="282"/>
    <cellStyle name="Normal 16" xfId="283"/>
    <cellStyle name="Normal 17" xfId="284"/>
    <cellStyle name="Normal 18" xfId="285"/>
    <cellStyle name="Normal 19" xfId="286"/>
    <cellStyle name="Normal 2" xfId="287"/>
    <cellStyle name="Normal 2 2" xfId="288"/>
    <cellStyle name="Normal 2 3" xfId="3"/>
    <cellStyle name="Normal 2 3 2" xfId="289"/>
    <cellStyle name="Normal 2 4" xfId="290"/>
    <cellStyle name="Normal 20" xfId="291"/>
    <cellStyle name="Normal 21" xfId="292"/>
    <cellStyle name="Normal 22" xfId="293"/>
    <cellStyle name="Normal 23" xfId="294"/>
    <cellStyle name="Normal 24" xfId="295"/>
    <cellStyle name="Normal 25" xfId="296"/>
    <cellStyle name="Normal 26" xfId="297"/>
    <cellStyle name="Normal 27" xfId="298"/>
    <cellStyle name="Normal 28" xfId="299"/>
    <cellStyle name="Normal 29" xfId="300"/>
    <cellStyle name="Normal 3" xfId="301"/>
    <cellStyle name="Normal 3 2" xfId="302"/>
    <cellStyle name="Normal 3 3" xfId="303"/>
    <cellStyle name="Normal 30" xfId="304"/>
    <cellStyle name="Normal 31" xfId="305"/>
    <cellStyle name="Normal 32" xfId="306"/>
    <cellStyle name="Normal 33" xfId="307"/>
    <cellStyle name="Normal 34" xfId="308"/>
    <cellStyle name="Normal 35" xfId="309"/>
    <cellStyle name="Normal 36" xfId="310"/>
    <cellStyle name="Normal 37" xfId="311"/>
    <cellStyle name="Normal 38" xfId="312"/>
    <cellStyle name="Normal 39" xfId="313"/>
    <cellStyle name="Normal 4" xfId="314"/>
    <cellStyle name="Normal 40" xfId="315"/>
    <cellStyle name="Normal 41" xfId="316"/>
    <cellStyle name="Normal 42" xfId="317"/>
    <cellStyle name="Normal 43" xfId="318"/>
    <cellStyle name="Normal 44" xfId="319"/>
    <cellStyle name="Normal 45" xfId="320"/>
    <cellStyle name="Normal 46" xfId="321"/>
    <cellStyle name="Normal 47" xfId="322"/>
    <cellStyle name="Normal 48" xfId="323"/>
    <cellStyle name="Normal 49" xfId="324"/>
    <cellStyle name="Normal 5" xfId="325"/>
    <cellStyle name="Normal 50" xfId="326"/>
    <cellStyle name="Normal 51" xfId="327"/>
    <cellStyle name="Normal 52" xfId="328"/>
    <cellStyle name="Normal 53" xfId="329"/>
    <cellStyle name="Normal 54" xfId="330"/>
    <cellStyle name="Normal 55" xfId="331"/>
    <cellStyle name="Normal 56" xfId="332"/>
    <cellStyle name="Normal 57" xfId="333"/>
    <cellStyle name="Normal 58" xfId="334"/>
    <cellStyle name="Normal 59" xfId="335"/>
    <cellStyle name="Normal 6" xfId="336"/>
    <cellStyle name="Normal 60" xfId="337"/>
    <cellStyle name="Normal 61" xfId="338"/>
    <cellStyle name="Normal 62" xfId="339"/>
    <cellStyle name="Normal 63" xfId="340"/>
    <cellStyle name="Normal 64" xfId="341"/>
    <cellStyle name="Normal 65" xfId="342"/>
    <cellStyle name="Normal 66" xfId="343"/>
    <cellStyle name="Normal 67" xfId="344"/>
    <cellStyle name="Normal 68" xfId="345"/>
    <cellStyle name="Normal 69" xfId="346"/>
    <cellStyle name="Normal 7" xfId="347"/>
    <cellStyle name="Normal 70" xfId="348"/>
    <cellStyle name="Normal 71" xfId="349"/>
    <cellStyle name="Normal 72" xfId="350"/>
    <cellStyle name="Normal 73" xfId="351"/>
    <cellStyle name="Normal 74" xfId="352"/>
    <cellStyle name="Normal 75" xfId="353"/>
    <cellStyle name="Normal 76" xfId="354"/>
    <cellStyle name="Normal 77" xfId="355"/>
    <cellStyle name="Normal 78" xfId="356"/>
    <cellStyle name="Normal 79" xfId="357"/>
    <cellStyle name="Normal 8" xfId="358"/>
    <cellStyle name="Normal 80" xfId="359"/>
    <cellStyle name="Normal 81" xfId="360"/>
    <cellStyle name="Normal 82" xfId="361"/>
    <cellStyle name="Normal 83" xfId="362"/>
    <cellStyle name="Normal 84" xfId="363"/>
    <cellStyle name="Normal 85" xfId="364"/>
    <cellStyle name="Normal 86" xfId="365"/>
    <cellStyle name="Normal 87" xfId="366"/>
    <cellStyle name="Normal 88" xfId="367"/>
    <cellStyle name="Normal 89" xfId="368"/>
    <cellStyle name="Normal 9" xfId="369"/>
    <cellStyle name="Normal 90" xfId="370"/>
    <cellStyle name="Normal 91" xfId="371"/>
    <cellStyle name="Normal 92" xfId="372"/>
    <cellStyle name="Normal 93" xfId="373"/>
    <cellStyle name="Normal 94" xfId="374"/>
    <cellStyle name="Normal 95" xfId="375"/>
    <cellStyle name="Normal 96" xfId="376"/>
    <cellStyle name="Normal 97" xfId="377"/>
    <cellStyle name="Normal 98" xfId="378"/>
    <cellStyle name="Normal 99" xfId="379"/>
    <cellStyle name="Note 2" xfId="380"/>
    <cellStyle name="Note 3" xfId="381"/>
    <cellStyle name="Output 2" xfId="382"/>
    <cellStyle name="Output 3" xfId="383"/>
    <cellStyle name="Percent 2" xfId="384"/>
    <cellStyle name="Percent 3" xfId="385"/>
    <cellStyle name="Percent 4" xfId="386"/>
    <cellStyle name="SAPBEXaggData" xfId="387"/>
    <cellStyle name="SAPBEXaggData 2" xfId="388"/>
    <cellStyle name="SAPBEXaggDataEmph" xfId="389"/>
    <cellStyle name="SAPBEXaggDataEmph 2" xfId="390"/>
    <cellStyle name="SAPBEXaggItem" xfId="391"/>
    <cellStyle name="SAPBEXaggItem 2" xfId="392"/>
    <cellStyle name="SAPBEXaggItemX" xfId="393"/>
    <cellStyle name="SAPBEXchaText" xfId="394"/>
    <cellStyle name="SAPBEXchaText 2" xfId="395"/>
    <cellStyle name="SAPBEXexcBad7" xfId="396"/>
    <cellStyle name="SAPBEXexcBad7 2" xfId="397"/>
    <cellStyle name="SAPBEXexcBad8" xfId="398"/>
    <cellStyle name="SAPBEXexcBad8 2" xfId="399"/>
    <cellStyle name="SAPBEXexcBad9" xfId="400"/>
    <cellStyle name="SAPBEXexcBad9 2" xfId="401"/>
    <cellStyle name="SAPBEXexcCritical4" xfId="402"/>
    <cellStyle name="SAPBEXexcCritical4 2" xfId="403"/>
    <cellStyle name="SAPBEXexcCritical5" xfId="404"/>
    <cellStyle name="SAPBEXexcCritical5 2" xfId="405"/>
    <cellStyle name="SAPBEXexcCritical6" xfId="406"/>
    <cellStyle name="SAPBEXexcCritical6 2" xfId="407"/>
    <cellStyle name="SAPBEXexcGood1" xfId="408"/>
    <cellStyle name="SAPBEXexcGood1 2" xfId="409"/>
    <cellStyle name="SAPBEXexcGood2" xfId="410"/>
    <cellStyle name="SAPBEXexcGood2 2" xfId="411"/>
    <cellStyle name="SAPBEXexcGood3" xfId="412"/>
    <cellStyle name="SAPBEXexcGood3 2" xfId="413"/>
    <cellStyle name="SAPBEXfilterDrill" xfId="414"/>
    <cellStyle name="SAPBEXfilterDrill 2" xfId="415"/>
    <cellStyle name="SAPBEXfilterItem" xfId="416"/>
    <cellStyle name="SAPBEXfilterItem 2" xfId="417"/>
    <cellStyle name="SAPBEXfilterText" xfId="418"/>
    <cellStyle name="SAPBEXfilterText 2" xfId="419"/>
    <cellStyle name="SAPBEXformats" xfId="420"/>
    <cellStyle name="SAPBEXformats 2" xfId="421"/>
    <cellStyle name="SAPBEXheaderItem" xfId="422"/>
    <cellStyle name="SAPBEXheaderItem 2" xfId="423"/>
    <cellStyle name="SAPBEXheaderText" xfId="424"/>
    <cellStyle name="SAPBEXheaderText 2" xfId="425"/>
    <cellStyle name="SAPBEXHLevel0" xfId="426"/>
    <cellStyle name="SAPBEXHLevel0 2" xfId="427"/>
    <cellStyle name="SAPBEXHLevel0X" xfId="428"/>
    <cellStyle name="SAPBEXHLevel0X 2" xfId="429"/>
    <cellStyle name="SAPBEXHLevel1" xfId="430"/>
    <cellStyle name="SAPBEXHLevel1 2" xfId="431"/>
    <cellStyle name="SAPBEXHLevel1X" xfId="432"/>
    <cellStyle name="SAPBEXHLevel1X 2" xfId="433"/>
    <cellStyle name="SAPBEXHLevel2" xfId="434"/>
    <cellStyle name="SAPBEXHLevel2 2" xfId="435"/>
    <cellStyle name="SAPBEXHLevel2X" xfId="436"/>
    <cellStyle name="SAPBEXHLevel2X 2" xfId="437"/>
    <cellStyle name="SAPBEXHLevel3" xfId="438"/>
    <cellStyle name="SAPBEXHLevel3 2" xfId="439"/>
    <cellStyle name="SAPBEXHLevel3X" xfId="440"/>
    <cellStyle name="SAPBEXHLevel3X 2" xfId="441"/>
    <cellStyle name="SAPBEXresData" xfId="442"/>
    <cellStyle name="SAPBEXresData 2" xfId="443"/>
    <cellStyle name="SAPBEXresDataEmph" xfId="444"/>
    <cellStyle name="SAPBEXresDataEmph 2" xfId="445"/>
    <cellStyle name="SAPBEXresItem" xfId="446"/>
    <cellStyle name="SAPBEXresItem 2" xfId="447"/>
    <cellStyle name="SAPBEXresItemX" xfId="448"/>
    <cellStyle name="SAPBEXstdData" xfId="449"/>
    <cellStyle name="SAPBEXstdData 2" xfId="450"/>
    <cellStyle name="SAPBEXstdDataEmph" xfId="451"/>
    <cellStyle name="SAPBEXstdDataEmph 2" xfId="452"/>
    <cellStyle name="SAPBEXstdItem" xfId="453"/>
    <cellStyle name="SAPBEXstdItem 2" xfId="454"/>
    <cellStyle name="SAPBEXstdItemX" xfId="455"/>
    <cellStyle name="SAPBEXtitle" xfId="456"/>
    <cellStyle name="SAPBEXtitle 2" xfId="457"/>
    <cellStyle name="SAPBEXundefined" xfId="458"/>
    <cellStyle name="SAPBEXundefined 2" xfId="459"/>
    <cellStyle name="SEM-BPS-head" xfId="460"/>
    <cellStyle name="SEM-BPS-key" xfId="461"/>
    <cellStyle name="Title 2" xfId="462"/>
    <cellStyle name="Total 2" xfId="463"/>
    <cellStyle name="Valuta (0)_LINEA GLOBALE" xfId="464"/>
    <cellStyle name="Valuta_LINEA GLOBALE" xfId="465"/>
    <cellStyle name="Warning Text 2" xfId="4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tabSelected="1" view="pageBreakPreview" topLeftCell="A19" zoomScale="60" zoomScaleNormal="100" workbookViewId="0">
      <selection activeCell="V19" sqref="V19"/>
    </sheetView>
  </sheetViews>
  <sheetFormatPr defaultRowHeight="11.25"/>
  <cols>
    <col min="1" max="1" width="11.28515625" style="3" customWidth="1"/>
    <col min="2" max="2" width="35" style="3" customWidth="1"/>
    <col min="3" max="4" width="8.7109375" style="4" hidden="1" customWidth="1"/>
    <col min="5" max="6" width="10.140625" style="3" hidden="1" customWidth="1"/>
    <col min="7" max="12" width="10.140625" style="3" customWidth="1"/>
    <col min="13" max="13" width="7.5703125" style="3" customWidth="1"/>
    <col min="14" max="16384" width="9.140625" style="3"/>
  </cols>
  <sheetData>
    <row r="1" spans="1:12" s="2" customFormat="1" ht="16.5">
      <c r="A1" s="1" t="s">
        <v>93</v>
      </c>
      <c r="B1" s="1"/>
      <c r="C1" s="1"/>
      <c r="D1" s="1"/>
      <c r="H1" s="3"/>
    </row>
    <row r="2" spans="1:12" s="2" customFormat="1" ht="16.5">
      <c r="A2" s="1" t="s">
        <v>0</v>
      </c>
      <c r="B2" s="1"/>
      <c r="C2" s="1"/>
      <c r="D2" s="1"/>
    </row>
    <row r="3" spans="1:12" ht="12">
      <c r="D3" s="5"/>
      <c r="E3" s="5"/>
      <c r="I3" s="6"/>
      <c r="J3" s="6"/>
      <c r="K3" s="6"/>
      <c r="L3" s="6" t="s">
        <v>1</v>
      </c>
    </row>
    <row r="4" spans="1:12" s="7" customFormat="1" ht="12" customHeight="1">
      <c r="A4" s="58" t="s">
        <v>2</v>
      </c>
      <c r="B4" s="60" t="s">
        <v>3</v>
      </c>
      <c r="C4" s="54" t="s">
        <v>4</v>
      </c>
      <c r="D4" s="54" t="s">
        <v>5</v>
      </c>
      <c r="E4" s="54" t="s">
        <v>6</v>
      </c>
      <c r="F4" s="54" t="s">
        <v>7</v>
      </c>
      <c r="G4" s="54" t="s">
        <v>8</v>
      </c>
      <c r="H4" s="54" t="s">
        <v>83</v>
      </c>
      <c r="I4" s="54" t="s">
        <v>84</v>
      </c>
      <c r="J4" s="54" t="s">
        <v>85</v>
      </c>
      <c r="K4" s="54" t="s">
        <v>88</v>
      </c>
      <c r="L4" s="54" t="s">
        <v>82</v>
      </c>
    </row>
    <row r="5" spans="1:12" s="8" customFormat="1" ht="15.75" customHeight="1">
      <c r="A5" s="59"/>
      <c r="B5" s="61"/>
      <c r="C5" s="55"/>
      <c r="D5" s="55"/>
      <c r="E5" s="55"/>
      <c r="F5" s="55"/>
      <c r="G5" s="55"/>
      <c r="H5" s="55"/>
      <c r="I5" s="55"/>
      <c r="J5" s="55"/>
      <c r="K5" s="55"/>
      <c r="L5" s="55"/>
    </row>
    <row r="6" spans="1:12" s="8" customFormat="1" ht="12.75">
      <c r="A6" s="9" t="s">
        <v>9</v>
      </c>
      <c r="B6" s="10" t="s">
        <v>10</v>
      </c>
      <c r="C6" s="11">
        <v>25.5</v>
      </c>
      <c r="D6" s="11">
        <v>18.399999999999999</v>
      </c>
      <c r="E6" s="11">
        <v>447.4</v>
      </c>
      <c r="F6" s="12" t="s">
        <v>11</v>
      </c>
      <c r="G6" s="12" t="s">
        <v>11</v>
      </c>
      <c r="H6" s="12">
        <v>215</v>
      </c>
      <c r="I6" s="12">
        <v>127</v>
      </c>
      <c r="J6" s="12">
        <v>723</v>
      </c>
      <c r="K6" s="12">
        <v>18.899999999999999</v>
      </c>
      <c r="L6" s="12">
        <v>3</v>
      </c>
    </row>
    <row r="7" spans="1:12" s="8" customFormat="1" ht="12.75">
      <c r="A7" s="9" t="s">
        <v>12</v>
      </c>
      <c r="B7" s="10" t="s">
        <v>13</v>
      </c>
      <c r="C7" s="11">
        <v>180.9</v>
      </c>
      <c r="D7" s="11">
        <v>270.7</v>
      </c>
      <c r="E7" s="11">
        <v>148.6</v>
      </c>
      <c r="F7" s="11">
        <v>485.4</v>
      </c>
      <c r="G7" s="11">
        <v>63.3</v>
      </c>
      <c r="H7" s="12">
        <v>669</v>
      </c>
      <c r="I7" s="12">
        <v>1597</v>
      </c>
      <c r="J7" s="12">
        <v>1020</v>
      </c>
      <c r="K7" s="12">
        <f>25.8+50.5</f>
        <v>76.3</v>
      </c>
      <c r="L7" s="12">
        <v>20</v>
      </c>
    </row>
    <row r="8" spans="1:12" s="8" customFormat="1" ht="25.5">
      <c r="A8" s="9" t="s">
        <v>14</v>
      </c>
      <c r="B8" s="10" t="s">
        <v>15</v>
      </c>
      <c r="C8" s="11">
        <v>17.2</v>
      </c>
      <c r="D8" s="12" t="s">
        <v>11</v>
      </c>
      <c r="E8" s="12" t="s">
        <v>11</v>
      </c>
      <c r="F8" s="12" t="s">
        <v>11</v>
      </c>
      <c r="G8" s="12">
        <v>2</v>
      </c>
      <c r="H8" s="12">
        <v>18</v>
      </c>
      <c r="I8" s="12">
        <v>8</v>
      </c>
      <c r="J8" s="12">
        <v>831</v>
      </c>
      <c r="K8" s="12">
        <v>36</v>
      </c>
      <c r="L8" s="12" t="s">
        <v>22</v>
      </c>
    </row>
    <row r="9" spans="1:12" s="8" customFormat="1" ht="12.75">
      <c r="A9" s="9" t="s">
        <v>16</v>
      </c>
      <c r="B9" s="10" t="s">
        <v>17</v>
      </c>
      <c r="C9" s="11">
        <v>11.5</v>
      </c>
      <c r="D9" s="11">
        <v>44.9</v>
      </c>
      <c r="E9" s="11">
        <v>67.8</v>
      </c>
      <c r="F9" s="11">
        <v>211.2</v>
      </c>
      <c r="G9" s="11">
        <v>1292.3</v>
      </c>
      <c r="H9" s="12">
        <v>2117</v>
      </c>
      <c r="I9" s="12">
        <v>2305</v>
      </c>
      <c r="J9" s="12">
        <v>865</v>
      </c>
      <c r="K9" s="12">
        <f>93+166.5+116.2</f>
        <v>375.7</v>
      </c>
      <c r="L9" s="12">
        <v>112</v>
      </c>
    </row>
    <row r="10" spans="1:12" s="8" customFormat="1" ht="25.5">
      <c r="A10" s="9" t="s">
        <v>18</v>
      </c>
      <c r="B10" s="10" t="s">
        <v>19</v>
      </c>
      <c r="C10" s="11">
        <v>198</v>
      </c>
      <c r="D10" s="11">
        <v>38.299999999999997</v>
      </c>
      <c r="E10" s="11">
        <v>103.3</v>
      </c>
      <c r="F10" s="11">
        <v>290.89999999999998</v>
      </c>
      <c r="G10" s="11">
        <v>125</v>
      </c>
      <c r="H10" s="11">
        <v>600</v>
      </c>
      <c r="I10" s="11">
        <v>746</v>
      </c>
      <c r="J10" s="11">
        <v>1237</v>
      </c>
      <c r="K10" s="11">
        <f>15+24.8+7.574</f>
        <v>47.373999999999995</v>
      </c>
      <c r="L10" s="11">
        <v>29</v>
      </c>
    </row>
    <row r="11" spans="1:12" s="8" customFormat="1" ht="12.75">
      <c r="A11" s="9" t="s">
        <v>20</v>
      </c>
      <c r="B11" s="10" t="s">
        <v>21</v>
      </c>
      <c r="C11" s="11">
        <v>13.1</v>
      </c>
      <c r="D11" s="12" t="s">
        <v>11</v>
      </c>
      <c r="E11" s="11">
        <v>14.2</v>
      </c>
      <c r="F11" s="11">
        <v>9.5</v>
      </c>
      <c r="G11" s="12">
        <v>110</v>
      </c>
      <c r="H11" s="12">
        <v>204</v>
      </c>
      <c r="I11" s="12">
        <v>43</v>
      </c>
      <c r="J11" s="12">
        <v>76</v>
      </c>
      <c r="K11" s="12" t="s">
        <v>22</v>
      </c>
      <c r="L11" s="12">
        <v>4</v>
      </c>
    </row>
    <row r="12" spans="1:12" s="8" customFormat="1" ht="25.5">
      <c r="A12" s="9" t="s">
        <v>23</v>
      </c>
      <c r="B12" s="10" t="s">
        <v>24</v>
      </c>
      <c r="C12" s="11">
        <v>1381.9</v>
      </c>
      <c r="D12" s="11">
        <v>3188.6</v>
      </c>
      <c r="E12" s="11">
        <v>1347.8</v>
      </c>
      <c r="F12" s="11">
        <v>1849.7</v>
      </c>
      <c r="G12" s="11">
        <v>836.3</v>
      </c>
      <c r="H12" s="11">
        <v>999</v>
      </c>
      <c r="I12" s="11">
        <v>1839</v>
      </c>
      <c r="J12" s="11">
        <v>756</v>
      </c>
      <c r="K12" s="11">
        <f>117+2115.3+1029.635+1631.5</f>
        <v>4893.4350000000004</v>
      </c>
      <c r="L12" s="11">
        <v>249</v>
      </c>
    </row>
    <row r="13" spans="1:12" s="8" customFormat="1" ht="13.5" customHeight="1">
      <c r="A13" s="9" t="s">
        <v>25</v>
      </c>
      <c r="B13" s="10" t="s">
        <v>26</v>
      </c>
      <c r="C13" s="11">
        <v>42.7</v>
      </c>
      <c r="D13" s="11">
        <v>18.2</v>
      </c>
      <c r="E13" s="11">
        <v>7.8</v>
      </c>
      <c r="F13" s="12" t="s">
        <v>11</v>
      </c>
      <c r="G13" s="12">
        <v>235.47</v>
      </c>
      <c r="H13" s="12">
        <v>462</v>
      </c>
      <c r="I13" s="12">
        <v>373</v>
      </c>
      <c r="J13" s="12">
        <v>274</v>
      </c>
      <c r="K13" s="12">
        <f>109+29.6+2.690464</f>
        <v>141.29046399999999</v>
      </c>
      <c r="L13" s="12" t="s">
        <v>22</v>
      </c>
    </row>
    <row r="14" spans="1:12" s="8" customFormat="1" ht="12.75">
      <c r="A14" s="9" t="s">
        <v>27</v>
      </c>
      <c r="B14" s="10" t="s">
        <v>28</v>
      </c>
      <c r="C14" s="11">
        <v>3592.9</v>
      </c>
      <c r="D14" s="11">
        <v>4055.6</v>
      </c>
      <c r="E14" s="11">
        <v>4563.8999999999996</v>
      </c>
      <c r="F14" s="11">
        <v>1371.4</v>
      </c>
      <c r="G14" s="11">
        <f>2160.2+157.809+91.28+1131.944+1104.059</f>
        <v>4645.2920000000004</v>
      </c>
      <c r="H14" s="11">
        <v>1972</v>
      </c>
      <c r="I14" s="12">
        <v>5512</v>
      </c>
      <c r="J14" s="12">
        <v>1386</v>
      </c>
      <c r="K14" s="12">
        <f>1393.6+25.5+395.9</f>
        <v>1815</v>
      </c>
      <c r="L14" s="12">
        <v>43</v>
      </c>
    </row>
    <row r="15" spans="1:12" s="8" customFormat="1" ht="12.75">
      <c r="A15" s="9" t="s">
        <v>29</v>
      </c>
      <c r="B15" s="10" t="s">
        <v>30</v>
      </c>
      <c r="C15" s="11">
        <v>1701.1</v>
      </c>
      <c r="D15" s="11">
        <v>3820</v>
      </c>
      <c r="E15" s="11">
        <v>4524.5</v>
      </c>
      <c r="F15" s="11">
        <v>4304.9799999999996</v>
      </c>
      <c r="G15" s="11">
        <v>3422.2</v>
      </c>
      <c r="H15" s="11">
        <v>5236</v>
      </c>
      <c r="I15" s="11">
        <v>7553</v>
      </c>
      <c r="J15" s="11">
        <v>6124</v>
      </c>
      <c r="K15" s="11">
        <f>1511+1676+1133.255+1857.4</f>
        <v>6177.6550000000007</v>
      </c>
      <c r="L15" s="11">
        <v>1956</v>
      </c>
    </row>
    <row r="16" spans="1:12" s="17" customFormat="1" ht="21.75" customHeight="1">
      <c r="A16" s="9"/>
      <c r="B16" s="13" t="s">
        <v>31</v>
      </c>
      <c r="C16" s="14">
        <v>1227.8</v>
      </c>
      <c r="D16" s="14">
        <v>2790.5</v>
      </c>
      <c r="E16" s="14">
        <v>2636.8</v>
      </c>
      <c r="F16" s="15">
        <v>2073.69</v>
      </c>
      <c r="G16" s="15">
        <v>2033</v>
      </c>
      <c r="H16" s="15">
        <v>3352</v>
      </c>
      <c r="I16" s="15">
        <v>4228.3999999999996</v>
      </c>
      <c r="J16" s="15">
        <v>4598</v>
      </c>
      <c r="K16" s="16">
        <f>1146+983.6+706.663+1202.2</f>
        <v>4038.4629999999997</v>
      </c>
      <c r="L16" s="16">
        <v>1633</v>
      </c>
    </row>
    <row r="17" spans="1:12" s="17" customFormat="1" ht="27.75" customHeight="1">
      <c r="A17" s="9" t="s">
        <v>32</v>
      </c>
      <c r="B17" s="10" t="s">
        <v>33</v>
      </c>
      <c r="C17" s="12" t="s">
        <v>11</v>
      </c>
      <c r="D17" s="12" t="s">
        <v>11</v>
      </c>
      <c r="E17" s="12" t="s">
        <v>11</v>
      </c>
      <c r="F17" s="12" t="s">
        <v>11</v>
      </c>
      <c r="G17" s="11">
        <v>404.2</v>
      </c>
      <c r="H17" s="11">
        <v>266</v>
      </c>
      <c r="I17" s="11">
        <v>52</v>
      </c>
      <c r="J17" s="11">
        <v>33</v>
      </c>
      <c r="K17" s="11">
        <f>1+1.476353</f>
        <v>2.476353</v>
      </c>
      <c r="L17" s="12" t="s">
        <v>22</v>
      </c>
    </row>
    <row r="18" spans="1:12" s="17" customFormat="1" ht="21.75" customHeight="1">
      <c r="A18" s="9" t="s">
        <v>34</v>
      </c>
      <c r="B18" s="10" t="s">
        <v>35</v>
      </c>
      <c r="C18" s="12"/>
      <c r="D18" s="12" t="s">
        <v>11</v>
      </c>
      <c r="E18" s="12" t="s">
        <v>11</v>
      </c>
      <c r="F18" s="12" t="s">
        <v>11</v>
      </c>
      <c r="G18" s="12" t="s">
        <v>11</v>
      </c>
      <c r="H18" s="12">
        <v>38</v>
      </c>
      <c r="I18" s="12">
        <v>8</v>
      </c>
      <c r="J18" s="11">
        <v>217</v>
      </c>
      <c r="K18" s="11">
        <f>1+0.6</f>
        <v>1.6</v>
      </c>
      <c r="L18" s="12" t="s">
        <v>22</v>
      </c>
    </row>
    <row r="19" spans="1:12" s="17" customFormat="1" ht="21.75" customHeight="1">
      <c r="A19" s="9" t="s">
        <v>36</v>
      </c>
      <c r="B19" s="10" t="s">
        <v>37</v>
      </c>
      <c r="C19" s="11">
        <v>54.6</v>
      </c>
      <c r="D19" s="11">
        <v>30.033999999999999</v>
      </c>
      <c r="E19" s="11">
        <v>74.054000000000002</v>
      </c>
      <c r="F19" s="11">
        <v>125</v>
      </c>
      <c r="G19" s="12">
        <v>18</v>
      </c>
      <c r="H19" s="12">
        <v>4</v>
      </c>
      <c r="I19" s="12" t="s">
        <v>11</v>
      </c>
      <c r="J19" s="12">
        <v>32</v>
      </c>
      <c r="K19" s="12">
        <f>16+16.8</f>
        <v>32.799999999999997</v>
      </c>
      <c r="L19" s="12" t="s">
        <v>22</v>
      </c>
    </row>
    <row r="20" spans="1:12" s="17" customFormat="1" ht="21.75" customHeight="1">
      <c r="A20" s="9" t="s">
        <v>38</v>
      </c>
      <c r="B20" s="10" t="s">
        <v>39</v>
      </c>
      <c r="C20" s="11">
        <v>2.2000000000000002</v>
      </c>
      <c r="D20" s="11">
        <v>28.952000000000002</v>
      </c>
      <c r="E20" s="11">
        <v>119.7</v>
      </c>
      <c r="F20" s="11">
        <v>145.1</v>
      </c>
      <c r="G20" s="11">
        <v>2732.2</v>
      </c>
      <c r="H20" s="12">
        <v>91</v>
      </c>
      <c r="I20" s="12">
        <v>210</v>
      </c>
      <c r="J20" s="12">
        <v>184</v>
      </c>
      <c r="K20" s="12">
        <v>532.20000000000005</v>
      </c>
      <c r="L20" s="12">
        <v>4</v>
      </c>
    </row>
    <row r="21" spans="1:12" s="17" customFormat="1" ht="21.75" customHeight="1">
      <c r="A21" s="9" t="s">
        <v>40</v>
      </c>
      <c r="B21" s="10" t="s">
        <v>41</v>
      </c>
      <c r="C21" s="12" t="s">
        <v>11</v>
      </c>
      <c r="D21" s="12" t="s">
        <v>11</v>
      </c>
      <c r="E21" s="12" t="s">
        <v>11</v>
      </c>
      <c r="F21" s="12" t="s">
        <v>11</v>
      </c>
      <c r="G21" s="11">
        <v>61.8</v>
      </c>
      <c r="H21" s="11">
        <v>3</v>
      </c>
      <c r="I21" s="12" t="s">
        <v>11</v>
      </c>
      <c r="J21" s="12">
        <v>8</v>
      </c>
      <c r="K21" s="12" t="s">
        <v>22</v>
      </c>
      <c r="L21" s="12" t="s">
        <v>22</v>
      </c>
    </row>
    <row r="22" spans="1:12" s="17" customFormat="1" ht="17.25" customHeight="1">
      <c r="A22" s="56" t="s">
        <v>42</v>
      </c>
      <c r="B22" s="57"/>
      <c r="C22" s="18">
        <f>SUM(C6:C20)-C16</f>
        <v>7221.6000000000013</v>
      </c>
      <c r="D22" s="18">
        <f>SUM(D6:D20)-D16</f>
        <v>11513.685999999998</v>
      </c>
      <c r="E22" s="18">
        <f>SUM(E6:E20)-E16</f>
        <v>11419.054</v>
      </c>
      <c r="F22" s="18">
        <f>SUM(F6:F20)-F16</f>
        <v>8793.18</v>
      </c>
      <c r="G22" s="18">
        <f t="shared" ref="G22:L22" si="0">SUM(G6:G21)-G16</f>
        <v>13948.062000000002</v>
      </c>
      <c r="H22" s="18">
        <f t="shared" si="0"/>
        <v>12894</v>
      </c>
      <c r="I22" s="18">
        <f t="shared" si="0"/>
        <v>20373</v>
      </c>
      <c r="J22" s="18">
        <f>SUM(J6:J21)-J16</f>
        <v>13766</v>
      </c>
      <c r="K22" s="18">
        <f t="shared" si="0"/>
        <v>14150.730817</v>
      </c>
      <c r="L22" s="18">
        <f t="shared" si="0"/>
        <v>2420</v>
      </c>
    </row>
    <row r="23" spans="1:12" s="20" customFormat="1" ht="19.5" customHeight="1">
      <c r="A23" s="19" t="s">
        <v>87</v>
      </c>
      <c r="B23" s="19"/>
      <c r="C23" s="19"/>
      <c r="D23" s="19"/>
      <c r="E23" s="19"/>
      <c r="F23" s="19"/>
      <c r="G23" s="19"/>
      <c r="H23" s="19"/>
      <c r="I23" s="19"/>
      <c r="J23" s="19"/>
      <c r="K23" s="19"/>
      <c r="L23" s="19"/>
    </row>
    <row r="24" spans="1:12" s="20" customFormat="1" ht="15.75" customHeight="1">
      <c r="A24" s="21" t="s">
        <v>43</v>
      </c>
      <c r="B24" s="22"/>
      <c r="C24" s="22"/>
      <c r="D24" s="22"/>
      <c r="E24" s="22"/>
      <c r="F24" s="22"/>
      <c r="G24" s="22"/>
      <c r="H24" s="22"/>
      <c r="I24" s="22"/>
      <c r="J24" s="22"/>
      <c r="K24" s="22"/>
      <c r="L24" s="22"/>
    </row>
    <row r="25" spans="1:12" s="24" customFormat="1" ht="12.75">
      <c r="A25" s="23"/>
      <c r="C25" s="25"/>
      <c r="D25" s="25"/>
    </row>
    <row r="26" spans="1:12" s="2" customFormat="1" ht="16.5">
      <c r="A26" s="1" t="s">
        <v>92</v>
      </c>
      <c r="C26" s="26"/>
      <c r="D26" s="26"/>
    </row>
    <row r="27" spans="1:12" s="2" customFormat="1" ht="16.5">
      <c r="A27" s="1" t="s">
        <v>91</v>
      </c>
      <c r="C27" s="26"/>
      <c r="D27" s="26"/>
    </row>
    <row r="28" spans="1:12" ht="12">
      <c r="B28" s="27"/>
      <c r="C28" s="28"/>
      <c r="D28" s="28"/>
      <c r="E28" s="28"/>
      <c r="F28" s="28"/>
      <c r="G28" s="28"/>
      <c r="H28" s="28"/>
      <c r="I28" s="6"/>
      <c r="J28" s="6"/>
      <c r="K28" s="6"/>
      <c r="L28" s="6" t="s">
        <v>1</v>
      </c>
    </row>
    <row r="29" spans="1:12" s="20" customFormat="1" ht="28.5" customHeight="1">
      <c r="A29" s="70" t="s">
        <v>44</v>
      </c>
      <c r="B29" s="71"/>
      <c r="C29" s="29" t="s">
        <v>4</v>
      </c>
      <c r="D29" s="30" t="s">
        <v>5</v>
      </c>
      <c r="E29" s="31" t="s">
        <v>45</v>
      </c>
      <c r="F29" s="31" t="s">
        <v>7</v>
      </c>
      <c r="G29" s="31" t="s">
        <v>46</v>
      </c>
      <c r="H29" s="31" t="s">
        <v>86</v>
      </c>
      <c r="I29" s="31" t="s">
        <v>84</v>
      </c>
      <c r="J29" s="31" t="s">
        <v>85</v>
      </c>
      <c r="K29" s="31" t="s">
        <v>88</v>
      </c>
      <c r="L29" s="31" t="s">
        <v>82</v>
      </c>
    </row>
    <row r="30" spans="1:12" s="35" customFormat="1" ht="14.1" customHeight="1">
      <c r="A30" s="32" t="s">
        <v>47</v>
      </c>
      <c r="B30" s="33"/>
      <c r="C30" s="34">
        <f>C31+C43+C62</f>
        <v>7222.4856000000009</v>
      </c>
      <c r="D30" s="34">
        <f>D31+D43+D62</f>
        <v>11513.725</v>
      </c>
      <c r="E30" s="34">
        <f>E31+E43+E62</f>
        <v>11419.01</v>
      </c>
      <c r="F30" s="34">
        <f>F31+F43+F62</f>
        <v>8792.7000000000007</v>
      </c>
      <c r="G30" s="34">
        <f>G31+G43+G62-1</f>
        <v>13947.599999999999</v>
      </c>
      <c r="H30" s="34">
        <f>H31+H43+H62</f>
        <v>12893.527</v>
      </c>
      <c r="I30" s="34">
        <f>I31+I43+I62</f>
        <v>20373.491000000002</v>
      </c>
      <c r="J30" s="34">
        <f>J31+J43+J62</f>
        <v>13766</v>
      </c>
      <c r="K30" s="34">
        <f>K31+K43</f>
        <v>14150.680000000002</v>
      </c>
      <c r="L30" s="34">
        <f>L31+L43</f>
        <v>2420</v>
      </c>
    </row>
    <row r="31" spans="1:12" s="20" customFormat="1" ht="14.1" customHeight="1">
      <c r="A31" s="36" t="s">
        <v>48</v>
      </c>
      <c r="B31" s="37"/>
      <c r="C31" s="34">
        <f>C32+C41</f>
        <v>5504.7936000000009</v>
      </c>
      <c r="D31" s="34">
        <f>D32+D41</f>
        <v>8315.7540000000008</v>
      </c>
      <c r="E31" s="34">
        <f>E32+E41</f>
        <v>5739.54</v>
      </c>
      <c r="F31" s="34">
        <f>F32+F41</f>
        <v>6187.2000000000007</v>
      </c>
      <c r="G31" s="34">
        <f>G32+G41+1</f>
        <v>7952.28</v>
      </c>
      <c r="H31" s="34">
        <v>7758.951</v>
      </c>
      <c r="I31" s="34">
        <v>10574.093000000001</v>
      </c>
      <c r="J31" s="34">
        <f>J32+J41</f>
        <v>7505</v>
      </c>
      <c r="K31" s="34">
        <f>K32+K41</f>
        <v>10250.720000000001</v>
      </c>
      <c r="L31" s="34">
        <f>L32+L41</f>
        <v>1568</v>
      </c>
    </row>
    <row r="32" spans="1:12" s="20" customFormat="1" ht="14.1" customHeight="1">
      <c r="A32" s="64" t="s">
        <v>49</v>
      </c>
      <c r="B32" s="65"/>
      <c r="C32" s="38">
        <f t="shared" ref="C32:G32" si="1">C33+C39+C40</f>
        <v>5338.2786000000006</v>
      </c>
      <c r="D32" s="38">
        <f t="shared" si="1"/>
        <v>5936.2070000000012</v>
      </c>
      <c r="E32" s="38">
        <f t="shared" si="1"/>
        <v>4676.33</v>
      </c>
      <c r="F32" s="38">
        <f t="shared" si="1"/>
        <v>5500.1</v>
      </c>
      <c r="G32" s="38">
        <f t="shared" si="1"/>
        <v>7819.28</v>
      </c>
      <c r="H32" s="38">
        <v>7501.7950000000001</v>
      </c>
      <c r="I32" s="38">
        <v>9786.9260000000013</v>
      </c>
      <c r="J32" s="38">
        <f>J33+J39+J40</f>
        <v>7282</v>
      </c>
      <c r="K32" s="38">
        <f t="shared" ref="K32" si="2">K33+K39+K40+4</f>
        <v>8168.7000000000007</v>
      </c>
      <c r="L32" s="38">
        <f>L33+L39+L40</f>
        <v>1531</v>
      </c>
    </row>
    <row r="33" spans="1:12" s="20" customFormat="1" ht="14.1" customHeight="1">
      <c r="A33" s="64" t="s">
        <v>50</v>
      </c>
      <c r="B33" s="65"/>
      <c r="C33" s="38">
        <v>4680.8676000000005</v>
      </c>
      <c r="D33" s="38">
        <v>4596.8270000000011</v>
      </c>
      <c r="E33" s="38">
        <v>3747.21</v>
      </c>
      <c r="F33" s="38">
        <v>4886.7</v>
      </c>
      <c r="G33" s="38">
        <v>7169.5300000000007</v>
      </c>
      <c r="H33" s="38">
        <v>6968.299</v>
      </c>
      <c r="I33" s="38">
        <v>9424.8260000000009</v>
      </c>
      <c r="J33" s="38">
        <v>6337</v>
      </c>
      <c r="K33" s="38">
        <f>112+K34+K35+K36+K37+K38+1965+15+1+1+4+5+1+2+52.68</f>
        <v>7488.7900000000009</v>
      </c>
      <c r="L33" s="38">
        <f>4+2+2+1+192+SUM(L34:L38)</f>
        <v>1436</v>
      </c>
    </row>
    <row r="34" spans="1:12" s="20" customFormat="1" ht="14.1" customHeight="1">
      <c r="A34" s="39" t="s">
        <v>51</v>
      </c>
      <c r="B34" s="37"/>
      <c r="C34" s="38">
        <v>47.320000000000007</v>
      </c>
      <c r="D34" s="38">
        <v>377.83799999999997</v>
      </c>
      <c r="E34" s="38">
        <v>75.650000000000006</v>
      </c>
      <c r="F34" s="38">
        <v>38.099999999999994</v>
      </c>
      <c r="G34" s="38">
        <v>91.699999999999989</v>
      </c>
      <c r="H34" s="38">
        <v>92.62</v>
      </c>
      <c r="I34" s="38">
        <v>595</v>
      </c>
      <c r="J34" s="38">
        <v>204</v>
      </c>
      <c r="K34" s="38">
        <f>12+29+16+15.11</f>
        <v>72.11</v>
      </c>
      <c r="L34" s="38">
        <v>18</v>
      </c>
    </row>
    <row r="35" spans="1:12" s="20" customFormat="1" ht="14.1" customHeight="1">
      <c r="A35" s="64" t="s">
        <v>52</v>
      </c>
      <c r="B35" s="65"/>
      <c r="C35" s="38">
        <v>34.097999999999999</v>
      </c>
      <c r="D35" s="38">
        <v>69.441999999999993</v>
      </c>
      <c r="E35" s="11">
        <v>208.98</v>
      </c>
      <c r="F35" s="11">
        <v>64.7</v>
      </c>
      <c r="G35" s="11">
        <v>256.01</v>
      </c>
      <c r="H35" s="11">
        <v>184.512</v>
      </c>
      <c r="I35" s="11">
        <v>366.2</v>
      </c>
      <c r="J35" s="11">
        <v>322</v>
      </c>
      <c r="K35" s="11">
        <f>2+384+32+345.98</f>
        <v>763.98</v>
      </c>
      <c r="L35" s="11">
        <v>4</v>
      </c>
    </row>
    <row r="36" spans="1:12" s="20" customFormat="1" ht="14.1" customHeight="1">
      <c r="A36" s="64" t="s">
        <v>53</v>
      </c>
      <c r="B36" s="65"/>
      <c r="C36" s="38">
        <v>522.51099999999997</v>
      </c>
      <c r="D36" s="38">
        <v>1175.7850000000001</v>
      </c>
      <c r="E36" s="11">
        <v>1166.77</v>
      </c>
      <c r="F36" s="11">
        <v>2332.9</v>
      </c>
      <c r="G36" s="11">
        <v>1598.38</v>
      </c>
      <c r="H36" s="11">
        <v>4066.7190000000001</v>
      </c>
      <c r="I36" s="11">
        <v>4294.5</v>
      </c>
      <c r="J36" s="11">
        <v>3434</v>
      </c>
      <c r="K36" s="11">
        <f>ROUND(599+1574+466+846.75,0)</f>
        <v>3486</v>
      </c>
      <c r="L36" s="11">
        <v>767</v>
      </c>
    </row>
    <row r="37" spans="1:12" s="20" customFormat="1" ht="14.1" customHeight="1">
      <c r="A37" s="64" t="s">
        <v>54</v>
      </c>
      <c r="B37" s="65"/>
      <c r="C37" s="38">
        <v>177.024</v>
      </c>
      <c r="D37" s="38">
        <v>58.642000000000003</v>
      </c>
      <c r="E37" s="11">
        <v>172.48</v>
      </c>
      <c r="F37" s="11">
        <v>26.7</v>
      </c>
      <c r="G37" s="11">
        <v>3</v>
      </c>
      <c r="H37" s="11">
        <v>10.17</v>
      </c>
      <c r="I37" s="11">
        <v>2</v>
      </c>
      <c r="J37" s="11">
        <v>856</v>
      </c>
      <c r="K37" s="11">
        <f>ROUND(57+22+15+21.61,0)</f>
        <v>116</v>
      </c>
      <c r="L37" s="11">
        <v>12</v>
      </c>
    </row>
    <row r="38" spans="1:12" s="20" customFormat="1" ht="14.1" customHeight="1">
      <c r="A38" s="64" t="s">
        <v>55</v>
      </c>
      <c r="B38" s="65"/>
      <c r="C38" s="38">
        <v>3821.4270000000001</v>
      </c>
      <c r="D38" s="38">
        <v>2801.83</v>
      </c>
      <c r="E38" s="11">
        <f>1740.46+260.64+43.01</f>
        <v>2044.11</v>
      </c>
      <c r="F38" s="11">
        <f>1492.6</f>
        <v>1492.6</v>
      </c>
      <c r="G38" s="11">
        <f>2396+1131.944+1104.059</f>
        <v>4632.0029999999997</v>
      </c>
      <c r="H38" s="11">
        <v>2313.91</v>
      </c>
      <c r="I38" s="11">
        <v>4075</v>
      </c>
      <c r="J38" s="11">
        <v>642</v>
      </c>
      <c r="K38" s="11">
        <f>74+702+67+49.02</f>
        <v>892.02</v>
      </c>
      <c r="L38" s="11">
        <v>434</v>
      </c>
    </row>
    <row r="39" spans="1:12" s="20" customFormat="1" ht="14.1" customHeight="1">
      <c r="A39" s="64" t="s">
        <v>56</v>
      </c>
      <c r="B39" s="65"/>
      <c r="C39" s="38">
        <v>586.03899999999999</v>
      </c>
      <c r="D39" s="38">
        <v>1286.931</v>
      </c>
      <c r="E39" s="11">
        <v>606.26</v>
      </c>
      <c r="F39" s="11">
        <v>448.1</v>
      </c>
      <c r="G39" s="11">
        <v>590.49</v>
      </c>
      <c r="H39" s="11">
        <v>56.49</v>
      </c>
      <c r="I39" s="11">
        <v>160.1</v>
      </c>
      <c r="J39" s="11">
        <v>610</v>
      </c>
      <c r="K39" s="11">
        <f>171+72+3+146+179.22</f>
        <v>571.22</v>
      </c>
      <c r="L39" s="11">
        <v>79</v>
      </c>
    </row>
    <row r="40" spans="1:12" s="20" customFormat="1" ht="14.1" customHeight="1">
      <c r="A40" s="64" t="s">
        <v>57</v>
      </c>
      <c r="B40" s="65"/>
      <c r="C40" s="38">
        <v>71.372000000000298</v>
      </c>
      <c r="D40" s="38">
        <v>52.448999999999614</v>
      </c>
      <c r="E40" s="11">
        <v>322.85999999999967</v>
      </c>
      <c r="F40" s="11">
        <v>165.30000000000018</v>
      </c>
      <c r="G40" s="11">
        <v>59.259999999999309</v>
      </c>
      <c r="H40" s="11">
        <v>363.00600000000031</v>
      </c>
      <c r="I40" s="11">
        <v>202</v>
      </c>
      <c r="J40" s="11">
        <v>335</v>
      </c>
      <c r="K40" s="11">
        <f>17+33+20+34.69</f>
        <v>104.69</v>
      </c>
      <c r="L40" s="11">
        <v>16</v>
      </c>
    </row>
    <row r="41" spans="1:12" s="20" customFormat="1" ht="14.1" customHeight="1">
      <c r="A41" s="64" t="s">
        <v>58</v>
      </c>
      <c r="B41" s="65"/>
      <c r="C41" s="38">
        <v>166.51499999999999</v>
      </c>
      <c r="D41" s="38">
        <v>2379.547</v>
      </c>
      <c r="E41" s="11">
        <f>E42</f>
        <v>1063.21</v>
      </c>
      <c r="F41" s="11">
        <f>F42+10.6</f>
        <v>687.1</v>
      </c>
      <c r="G41" s="11">
        <v>132</v>
      </c>
      <c r="H41" s="11">
        <v>257.15600000000001</v>
      </c>
      <c r="I41" s="11">
        <v>787.16699999999992</v>
      </c>
      <c r="J41" s="11">
        <f>J42+4</f>
        <v>223</v>
      </c>
      <c r="K41" s="11">
        <f>K42+2+6+61+7+370.1</f>
        <v>2082.02</v>
      </c>
      <c r="L41" s="11">
        <f>L42</f>
        <v>37</v>
      </c>
    </row>
    <row r="42" spans="1:12" s="20" customFormat="1" ht="14.1" customHeight="1">
      <c r="A42" s="64" t="s">
        <v>59</v>
      </c>
      <c r="B42" s="65"/>
      <c r="C42" s="38">
        <v>163.309</v>
      </c>
      <c r="D42" s="38">
        <v>2379.547</v>
      </c>
      <c r="E42" s="11">
        <v>1063.21</v>
      </c>
      <c r="F42" s="11">
        <v>676.5</v>
      </c>
      <c r="G42" s="11">
        <v>132</v>
      </c>
      <c r="H42" s="11">
        <v>230.15600000000001</v>
      </c>
      <c r="I42" s="11">
        <v>387.8</v>
      </c>
      <c r="J42" s="11">
        <v>219</v>
      </c>
      <c r="K42" s="11">
        <f>19+5+18+1593.92</f>
        <v>1635.92</v>
      </c>
      <c r="L42" s="11">
        <v>37</v>
      </c>
    </row>
    <row r="43" spans="1:12" s="20" customFormat="1" ht="14.1" customHeight="1">
      <c r="A43" s="36" t="s">
        <v>60</v>
      </c>
      <c r="B43" s="37"/>
      <c r="C43" s="34">
        <f>C44+C48+C51</f>
        <v>1685.3969999999999</v>
      </c>
      <c r="D43" s="34">
        <f>D44+D48+D51</f>
        <v>3196.002</v>
      </c>
      <c r="E43" s="34">
        <f>E44+E48+E51</f>
        <v>5679.47</v>
      </c>
      <c r="F43" s="34">
        <f>F44+F48+F51-1</f>
        <v>2605.5</v>
      </c>
      <c r="G43" s="34">
        <f>G44+G48+G51</f>
        <v>5996.32</v>
      </c>
      <c r="H43" s="34">
        <v>5074.576</v>
      </c>
      <c r="I43" s="34">
        <v>9762.398000000001</v>
      </c>
      <c r="J43" s="34">
        <f>J44+J48+J51</f>
        <v>6198</v>
      </c>
      <c r="K43" s="34">
        <f>K44+K48+K51</f>
        <v>3899.9600000000005</v>
      </c>
      <c r="L43" s="34">
        <f>L44+L48+L51</f>
        <v>852</v>
      </c>
    </row>
    <row r="44" spans="1:12" s="20" customFormat="1" ht="14.1" customHeight="1">
      <c r="A44" s="64" t="s">
        <v>61</v>
      </c>
      <c r="B44" s="65"/>
      <c r="C44" s="38">
        <f t="shared" ref="C44:G44" si="3">C45+C46+C47</f>
        <v>295.935</v>
      </c>
      <c r="D44" s="38">
        <f t="shared" si="3"/>
        <v>1123.9349999999999</v>
      </c>
      <c r="E44" s="38">
        <f t="shared" si="3"/>
        <v>1929.06</v>
      </c>
      <c r="F44" s="38">
        <f t="shared" si="3"/>
        <v>1056.0999999999999</v>
      </c>
      <c r="G44" s="38">
        <f t="shared" si="3"/>
        <v>2019.2</v>
      </c>
      <c r="H44" s="38">
        <v>3523.1930000000002</v>
      </c>
      <c r="I44" s="38">
        <v>5852.277</v>
      </c>
      <c r="J44" s="11">
        <f>J45+J46+J47</f>
        <v>2454</v>
      </c>
      <c r="K44" s="11">
        <f>K45+K46+K47</f>
        <v>1436.7800000000002</v>
      </c>
      <c r="L44" s="11">
        <f>SUM(L45:L47)</f>
        <v>475</v>
      </c>
    </row>
    <row r="45" spans="1:12" s="20" customFormat="1" ht="14.1" customHeight="1">
      <c r="A45" s="64" t="s">
        <v>62</v>
      </c>
      <c r="B45" s="65"/>
      <c r="C45" s="38">
        <v>126.605</v>
      </c>
      <c r="D45" s="38">
        <v>577.41300000000001</v>
      </c>
      <c r="E45" s="11">
        <v>48.98</v>
      </c>
      <c r="F45" s="11">
        <v>196.3</v>
      </c>
      <c r="G45" s="11">
        <v>135.30000000000001</v>
      </c>
      <c r="H45" s="11">
        <v>246.16</v>
      </c>
      <c r="I45" s="11">
        <v>145.27699999999999</v>
      </c>
      <c r="J45" s="11">
        <v>168</v>
      </c>
      <c r="K45" s="11">
        <f>42+20+6+13.42</f>
        <v>81.42</v>
      </c>
      <c r="L45" s="11">
        <v>12</v>
      </c>
    </row>
    <row r="46" spans="1:12" s="20" customFormat="1" ht="14.1" customHeight="1">
      <c r="A46" s="64" t="s">
        <v>63</v>
      </c>
      <c r="B46" s="65"/>
      <c r="C46" s="38">
        <v>38.293999999999997</v>
      </c>
      <c r="D46" s="38">
        <v>497.54300000000001</v>
      </c>
      <c r="E46" s="11">
        <v>1414.77</v>
      </c>
      <c r="F46" s="11">
        <v>509.7</v>
      </c>
      <c r="G46" s="11">
        <v>1468.47</v>
      </c>
      <c r="H46" s="11">
        <v>3003.4850000000001</v>
      </c>
      <c r="I46" s="11">
        <v>5344</v>
      </c>
      <c r="J46" s="11">
        <v>1851</v>
      </c>
      <c r="K46" s="11">
        <f>400+198+306+193.22</f>
        <v>1097.22</v>
      </c>
      <c r="L46" s="11">
        <v>343</v>
      </c>
    </row>
    <row r="47" spans="1:12" s="20" customFormat="1" ht="14.1" customHeight="1">
      <c r="A47" s="64" t="s">
        <v>64</v>
      </c>
      <c r="B47" s="65"/>
      <c r="C47" s="38">
        <v>131.036</v>
      </c>
      <c r="D47" s="38">
        <v>48.978999999999928</v>
      </c>
      <c r="E47" s="38">
        <v>465.30999999999995</v>
      </c>
      <c r="F47" s="38">
        <v>350.09999999999997</v>
      </c>
      <c r="G47" s="38">
        <v>415.43000000000006</v>
      </c>
      <c r="H47" s="38">
        <v>273.548</v>
      </c>
      <c r="I47" s="38">
        <v>363</v>
      </c>
      <c r="J47" s="11">
        <v>435</v>
      </c>
      <c r="K47" s="11">
        <f>72+110+40+36.14</f>
        <v>258.14</v>
      </c>
      <c r="L47" s="11">
        <v>120</v>
      </c>
    </row>
    <row r="48" spans="1:12" s="20" customFormat="1" ht="14.1" customHeight="1">
      <c r="A48" s="64" t="s">
        <v>65</v>
      </c>
      <c r="B48" s="65"/>
      <c r="C48" s="38">
        <v>45.253</v>
      </c>
      <c r="D48" s="38">
        <v>25.31</v>
      </c>
      <c r="E48" s="11">
        <f>E49+43.56+52.26+E50</f>
        <v>553.04000000000008</v>
      </c>
      <c r="F48" s="11">
        <f>F49+85.6+F50</f>
        <v>121.4</v>
      </c>
      <c r="G48" s="11">
        <v>69</v>
      </c>
      <c r="H48" s="11">
        <v>177.81</v>
      </c>
      <c r="I48" s="11">
        <v>9</v>
      </c>
      <c r="J48" s="11">
        <f>J49+J50</f>
        <v>89</v>
      </c>
      <c r="K48" s="11">
        <f>K49+K50</f>
        <v>22.96</v>
      </c>
      <c r="L48" s="11">
        <f>L49+L50</f>
        <v>46</v>
      </c>
    </row>
    <row r="49" spans="1:16" s="20" customFormat="1" ht="14.1" customHeight="1">
      <c r="A49" s="64" t="s">
        <v>66</v>
      </c>
      <c r="B49" s="65"/>
      <c r="C49" s="38" t="s">
        <v>11</v>
      </c>
      <c r="D49" s="38" t="s">
        <v>11</v>
      </c>
      <c r="E49" s="11">
        <v>448</v>
      </c>
      <c r="F49" s="11">
        <v>3</v>
      </c>
      <c r="G49" s="38" t="s">
        <v>11</v>
      </c>
      <c r="H49" s="11">
        <v>175.98</v>
      </c>
      <c r="I49" s="40">
        <v>0</v>
      </c>
      <c r="J49" s="11">
        <v>1</v>
      </c>
      <c r="K49" s="40">
        <v>0</v>
      </c>
      <c r="L49" s="40">
        <v>0</v>
      </c>
    </row>
    <row r="50" spans="1:16" s="20" customFormat="1" ht="14.1" customHeight="1">
      <c r="A50" s="64" t="s">
        <v>67</v>
      </c>
      <c r="B50" s="65"/>
      <c r="C50" s="38">
        <v>12.635999999999999</v>
      </c>
      <c r="D50" s="38" t="s">
        <v>11</v>
      </c>
      <c r="E50" s="11">
        <v>9.2200000000000006</v>
      </c>
      <c r="F50" s="11">
        <v>32.800000000000004</v>
      </c>
      <c r="G50" s="11">
        <v>5</v>
      </c>
      <c r="H50" s="40">
        <v>0</v>
      </c>
      <c r="I50" s="11">
        <v>9</v>
      </c>
      <c r="J50" s="11">
        <v>88</v>
      </c>
      <c r="K50" s="11">
        <f>21+1.96</f>
        <v>22.96</v>
      </c>
      <c r="L50" s="11">
        <v>46</v>
      </c>
    </row>
    <row r="51" spans="1:16" s="20" customFormat="1" ht="14.1" customHeight="1">
      <c r="A51" s="64" t="s">
        <v>68</v>
      </c>
      <c r="B51" s="65"/>
      <c r="C51" s="38">
        <v>1344.2090000000001</v>
      </c>
      <c r="D51" s="38">
        <v>2046.7570000000001</v>
      </c>
      <c r="E51" s="11">
        <f>E52+14.36+4.01</f>
        <v>3197.3700000000003</v>
      </c>
      <c r="F51" s="11">
        <f>F52+2</f>
        <v>1429</v>
      </c>
      <c r="G51" s="11">
        <v>3908.12</v>
      </c>
      <c r="H51" s="11">
        <v>1373.5729999999999</v>
      </c>
      <c r="I51" s="11">
        <v>3901.1210000000001</v>
      </c>
      <c r="J51" s="11">
        <f>J52+J61</f>
        <v>3655</v>
      </c>
      <c r="K51" s="11">
        <f>K52+K61</f>
        <v>2440.2200000000003</v>
      </c>
      <c r="L51" s="11">
        <f>L52+L61</f>
        <v>331</v>
      </c>
    </row>
    <row r="52" spans="1:16" s="20" customFormat="1" ht="14.1" customHeight="1">
      <c r="A52" s="64" t="s">
        <v>69</v>
      </c>
      <c r="B52" s="65"/>
      <c r="C52" s="38">
        <v>1322</v>
      </c>
      <c r="D52" s="38">
        <v>1971</v>
      </c>
      <c r="E52" s="38">
        <v>3179</v>
      </c>
      <c r="F52" s="38">
        <v>1427</v>
      </c>
      <c r="G52" s="38">
        <v>3905</v>
      </c>
      <c r="H52" s="38">
        <v>1372.5729999999999</v>
      </c>
      <c r="I52" s="38">
        <v>3898.598</v>
      </c>
      <c r="J52" s="38">
        <f>J53+J55</f>
        <v>3520</v>
      </c>
      <c r="K52" s="38">
        <f>K53+K55</f>
        <v>2422.3700000000003</v>
      </c>
      <c r="L52" s="38">
        <f>L53+L55</f>
        <v>316</v>
      </c>
      <c r="P52" s="53"/>
    </row>
    <row r="53" spans="1:16" s="20" customFormat="1" ht="14.1" customHeight="1">
      <c r="A53" s="64" t="s">
        <v>70</v>
      </c>
      <c r="B53" s="65"/>
      <c r="C53" s="38">
        <v>998.47400000000005</v>
      </c>
      <c r="D53" s="38">
        <v>1284.694</v>
      </c>
      <c r="E53" s="11">
        <f>E54+90.33</f>
        <v>937.30000000000007</v>
      </c>
      <c r="F53" s="11">
        <f>F54</f>
        <v>382.1</v>
      </c>
      <c r="G53" s="11">
        <v>338</v>
      </c>
      <c r="H53" s="11">
        <v>392.57299999999998</v>
      </c>
      <c r="I53" s="11">
        <v>360.59800000000001</v>
      </c>
      <c r="J53" s="11">
        <v>489</v>
      </c>
      <c r="K53" s="11">
        <f>K54+8+7</f>
        <v>635.89</v>
      </c>
      <c r="L53" s="11">
        <f>26+L54</f>
        <v>70</v>
      </c>
    </row>
    <row r="54" spans="1:16" s="20" customFormat="1" ht="14.1" customHeight="1">
      <c r="A54" s="64" t="s">
        <v>71</v>
      </c>
      <c r="B54" s="65"/>
      <c r="C54" s="38">
        <v>113.974</v>
      </c>
      <c r="D54" s="38">
        <v>1284.694</v>
      </c>
      <c r="E54" s="11">
        <v>846.97</v>
      </c>
      <c r="F54" s="11">
        <v>382.1</v>
      </c>
      <c r="G54" s="11">
        <v>338</v>
      </c>
      <c r="H54" s="11">
        <v>392.57299999999998</v>
      </c>
      <c r="I54" s="11">
        <v>336</v>
      </c>
      <c r="J54" s="11">
        <v>488</v>
      </c>
      <c r="K54" s="11">
        <f>116+331+113+60.89</f>
        <v>620.89</v>
      </c>
      <c r="L54" s="11">
        <v>44</v>
      </c>
    </row>
    <row r="55" spans="1:16" s="20" customFormat="1" ht="14.1" customHeight="1">
      <c r="A55" s="64" t="s">
        <v>72</v>
      </c>
      <c r="B55" s="65"/>
      <c r="C55" s="38">
        <f t="shared" ref="C55:G55" si="4">C56+C58</f>
        <v>246</v>
      </c>
      <c r="D55" s="38">
        <f t="shared" si="4"/>
        <v>669</v>
      </c>
      <c r="E55" s="38">
        <f t="shared" si="4"/>
        <v>2126</v>
      </c>
      <c r="F55" s="38">
        <f t="shared" si="4"/>
        <v>974</v>
      </c>
      <c r="G55" s="38">
        <f t="shared" si="4"/>
        <v>3518</v>
      </c>
      <c r="H55" s="38">
        <v>980</v>
      </c>
      <c r="I55" s="38">
        <v>3538</v>
      </c>
      <c r="J55" s="38">
        <f>J56+J58</f>
        <v>3031</v>
      </c>
      <c r="K55" s="38">
        <f>K56+K58</f>
        <v>1786.4800000000002</v>
      </c>
      <c r="L55" s="38">
        <f>L56+L58</f>
        <v>246</v>
      </c>
    </row>
    <row r="56" spans="1:16" s="20" customFormat="1" ht="14.1" customHeight="1">
      <c r="A56" s="64" t="s">
        <v>73</v>
      </c>
      <c r="B56" s="65"/>
      <c r="C56" s="38">
        <f>50+160</f>
        <v>210</v>
      </c>
      <c r="D56" s="38">
        <v>610</v>
      </c>
      <c r="E56" s="41">
        <v>1921</v>
      </c>
      <c r="F56" s="41">
        <v>320</v>
      </c>
      <c r="G56" s="41">
        <v>2887</v>
      </c>
      <c r="H56" s="11">
        <v>521</v>
      </c>
      <c r="I56" s="11">
        <v>707</v>
      </c>
      <c r="J56" s="11">
        <v>363</v>
      </c>
      <c r="K56" s="11">
        <f>K57+27</f>
        <v>171.72</v>
      </c>
      <c r="L56" s="11">
        <f>L57</f>
        <v>6</v>
      </c>
    </row>
    <row r="57" spans="1:16" s="20" customFormat="1" ht="14.1" customHeight="1">
      <c r="A57" s="39"/>
      <c r="B57" s="37" t="s">
        <v>74</v>
      </c>
      <c r="C57" s="38"/>
      <c r="D57" s="38">
        <v>610</v>
      </c>
      <c r="E57" s="11">
        <v>1921</v>
      </c>
      <c r="F57" s="11">
        <v>320</v>
      </c>
      <c r="G57" s="11">
        <v>2887</v>
      </c>
      <c r="H57" s="11">
        <v>513</v>
      </c>
      <c r="I57" s="11">
        <v>692</v>
      </c>
      <c r="J57" s="11">
        <v>353</v>
      </c>
      <c r="K57" s="11">
        <f>67+103+9.75-65+29.97</f>
        <v>144.72</v>
      </c>
      <c r="L57" s="11">
        <v>6</v>
      </c>
    </row>
    <row r="58" spans="1:16" s="20" customFormat="1" ht="14.1" customHeight="1">
      <c r="A58" s="64" t="s">
        <v>75</v>
      </c>
      <c r="B58" s="65"/>
      <c r="C58" s="38">
        <f>6+30</f>
        <v>36</v>
      </c>
      <c r="D58" s="38">
        <f>18+17+23+1</f>
        <v>59</v>
      </c>
      <c r="E58" s="11">
        <f>78+8+119</f>
        <v>205</v>
      </c>
      <c r="F58" s="11">
        <f>348+2+304</f>
        <v>654</v>
      </c>
      <c r="G58" s="11">
        <f>280+24+2+285+40</f>
        <v>631</v>
      </c>
      <c r="H58" s="11">
        <v>459</v>
      </c>
      <c r="I58" s="11">
        <v>2831</v>
      </c>
      <c r="J58" s="11">
        <f>J59+J60</f>
        <v>2668</v>
      </c>
      <c r="K58" s="11">
        <f>K59+K60</f>
        <v>1614.7600000000002</v>
      </c>
      <c r="L58" s="11">
        <f>L59+L60</f>
        <v>240</v>
      </c>
    </row>
    <row r="59" spans="1:16" s="20" customFormat="1" ht="14.1" customHeight="1">
      <c r="A59" s="42"/>
      <c r="B59" s="37" t="s">
        <v>76</v>
      </c>
      <c r="C59" s="38"/>
      <c r="D59" s="40">
        <v>0</v>
      </c>
      <c r="E59" s="38">
        <v>78</v>
      </c>
      <c r="F59" s="38">
        <v>305</v>
      </c>
      <c r="G59" s="38">
        <v>279</v>
      </c>
      <c r="H59" s="38">
        <v>245</v>
      </c>
      <c r="I59" s="38">
        <v>2558</v>
      </c>
      <c r="J59" s="38">
        <v>1894</v>
      </c>
      <c r="K59" s="38">
        <f>95+169+5+138.61</f>
        <v>407.61</v>
      </c>
      <c r="L59" s="38">
        <v>148</v>
      </c>
    </row>
    <row r="60" spans="1:16" s="20" customFormat="1" ht="14.1" customHeight="1">
      <c r="A60" s="42"/>
      <c r="B60" s="37" t="s">
        <v>77</v>
      </c>
      <c r="C60" s="38"/>
      <c r="D60" s="38">
        <f t="shared" ref="D60:G60" si="5">D58-D59</f>
        <v>59</v>
      </c>
      <c r="E60" s="41">
        <f t="shared" si="5"/>
        <v>127</v>
      </c>
      <c r="F60" s="41">
        <f t="shared" si="5"/>
        <v>349</v>
      </c>
      <c r="G60" s="41">
        <f t="shared" si="5"/>
        <v>352</v>
      </c>
      <c r="H60" s="38">
        <v>214</v>
      </c>
      <c r="I60" s="38">
        <v>273</v>
      </c>
      <c r="J60" s="38">
        <v>774</v>
      </c>
      <c r="K60" s="38">
        <f>35+42+102+6.75+6+65+875+11+64.4</f>
        <v>1207.1500000000001</v>
      </c>
      <c r="L60" s="38">
        <f>65+27</f>
        <v>92</v>
      </c>
    </row>
    <row r="61" spans="1:16" s="20" customFormat="1" ht="14.1" customHeight="1">
      <c r="A61" s="64" t="s">
        <v>78</v>
      </c>
      <c r="B61" s="65"/>
      <c r="C61" s="38"/>
      <c r="D61" s="40">
        <v>0</v>
      </c>
      <c r="E61" s="40">
        <v>0</v>
      </c>
      <c r="F61" s="40">
        <v>0</v>
      </c>
      <c r="G61" s="11">
        <v>3</v>
      </c>
      <c r="H61" s="11">
        <v>1</v>
      </c>
      <c r="I61" s="11">
        <v>2.5</v>
      </c>
      <c r="J61" s="11">
        <f>91+12+32</f>
        <v>135</v>
      </c>
      <c r="K61" s="11">
        <f>14+3.85</f>
        <v>17.850000000000001</v>
      </c>
      <c r="L61" s="11">
        <v>15</v>
      </c>
    </row>
    <row r="62" spans="1:16" s="20" customFormat="1" ht="14.1" customHeight="1">
      <c r="A62" s="68" t="s">
        <v>79</v>
      </c>
      <c r="B62" s="69"/>
      <c r="C62" s="43">
        <v>32.295000000000002</v>
      </c>
      <c r="D62" s="43">
        <v>1.9690000000000001</v>
      </c>
      <c r="E62" s="44">
        <v>0</v>
      </c>
      <c r="F62" s="44">
        <v>0</v>
      </c>
      <c r="G62" s="44">
        <v>0</v>
      </c>
      <c r="H62" s="43">
        <v>60</v>
      </c>
      <c r="I62" s="43">
        <v>37</v>
      </c>
      <c r="J62" s="43">
        <v>63</v>
      </c>
      <c r="K62" s="44">
        <v>0</v>
      </c>
      <c r="L62" s="44">
        <v>0</v>
      </c>
    </row>
    <row r="63" spans="1:16" s="45" customFormat="1" ht="39" customHeight="1">
      <c r="A63" s="66" t="s">
        <v>89</v>
      </c>
      <c r="B63" s="66"/>
      <c r="C63" s="66"/>
      <c r="D63" s="66"/>
      <c r="E63" s="66"/>
      <c r="F63" s="66"/>
      <c r="G63" s="66"/>
      <c r="H63" s="66"/>
      <c r="I63" s="66"/>
      <c r="J63" s="66"/>
      <c r="K63" s="66"/>
      <c r="L63" s="66"/>
    </row>
    <row r="64" spans="1:16" s="45" customFormat="1" ht="28.5" customHeight="1">
      <c r="A64" s="67" t="s">
        <v>90</v>
      </c>
      <c r="B64" s="67"/>
      <c r="C64" s="67"/>
      <c r="D64" s="67"/>
      <c r="E64" s="67"/>
      <c r="F64" s="67"/>
      <c r="G64" s="67"/>
      <c r="H64" s="67"/>
      <c r="I64" s="67"/>
      <c r="J64" s="67"/>
      <c r="K64" s="67"/>
      <c r="L64" s="67"/>
    </row>
    <row r="65" spans="1:12" s="45" customFormat="1" ht="13.5">
      <c r="A65" s="47" t="s">
        <v>80</v>
      </c>
      <c r="B65" s="46"/>
      <c r="C65" s="46"/>
      <c r="D65" s="46"/>
      <c r="E65" s="46"/>
      <c r="F65" s="46"/>
      <c r="H65" s="62"/>
      <c r="I65" s="63"/>
      <c r="J65" s="63"/>
      <c r="K65" s="48"/>
      <c r="L65" s="52"/>
    </row>
    <row r="66" spans="1:12" s="45" customFormat="1" ht="12">
      <c r="A66" s="47" t="s">
        <v>81</v>
      </c>
    </row>
    <row r="67" spans="1:12" s="20" customFormat="1" ht="12">
      <c r="C67" s="49"/>
      <c r="D67" s="49"/>
    </row>
    <row r="68" spans="1:12" s="20" customFormat="1" ht="12">
      <c r="C68" s="49"/>
      <c r="D68" s="49"/>
    </row>
    <row r="69" spans="1:12" s="20" customFormat="1" ht="12">
      <c r="C69" s="50"/>
      <c r="D69" s="50"/>
    </row>
    <row r="70" spans="1:12" s="20" customFormat="1" ht="12">
      <c r="C70" s="49"/>
      <c r="D70" s="49"/>
    </row>
    <row r="71" spans="1:12" s="20" customFormat="1" ht="12">
      <c r="C71" s="49"/>
      <c r="D71" s="49"/>
    </row>
    <row r="72" spans="1:12" ht="12">
      <c r="A72" s="51"/>
      <c r="H72" s="20"/>
      <c r="I72" s="20"/>
      <c r="J72" s="20"/>
      <c r="K72" s="20"/>
      <c r="L72" s="20"/>
    </row>
    <row r="73" spans="1:12">
      <c r="A73" s="51"/>
    </row>
    <row r="74" spans="1:12">
      <c r="A74" s="51"/>
    </row>
    <row r="75" spans="1:12">
      <c r="A75" s="51"/>
    </row>
    <row r="76" spans="1:12">
      <c r="A76" s="51"/>
    </row>
    <row r="77" spans="1:12">
      <c r="A77" s="51"/>
    </row>
    <row r="78" spans="1:12">
      <c r="A78" s="51"/>
    </row>
    <row r="79" spans="1:12">
      <c r="A79" s="51"/>
    </row>
    <row r="80" spans="1:12">
      <c r="A80" s="51"/>
    </row>
    <row r="81" spans="1:1">
      <c r="A81" s="51"/>
    </row>
    <row r="82" spans="1:1">
      <c r="A82" s="51"/>
    </row>
    <row r="83" spans="1:1">
      <c r="A83" s="51"/>
    </row>
    <row r="84" spans="1:1">
      <c r="A84" s="51"/>
    </row>
    <row r="85" spans="1:1">
      <c r="A85" s="51"/>
    </row>
    <row r="86" spans="1:1">
      <c r="A86" s="51"/>
    </row>
    <row r="87" spans="1:1">
      <c r="A87" s="51"/>
    </row>
    <row r="88" spans="1:1">
      <c r="A88" s="51"/>
    </row>
    <row r="89" spans="1:1">
      <c r="A89" s="51"/>
    </row>
    <row r="90" spans="1:1">
      <c r="A90" s="51"/>
    </row>
    <row r="91" spans="1:1">
      <c r="A91" s="51"/>
    </row>
    <row r="92" spans="1:1">
      <c r="A92" s="51"/>
    </row>
    <row r="93" spans="1:1">
      <c r="A93" s="51"/>
    </row>
    <row r="94" spans="1:1">
      <c r="A94" s="51"/>
    </row>
    <row r="95" spans="1:1">
      <c r="A95" s="51"/>
    </row>
  </sheetData>
  <mergeCells count="43">
    <mergeCell ref="L4:L5"/>
    <mergeCell ref="A58:B58"/>
    <mergeCell ref="A61:B61"/>
    <mergeCell ref="A62:B62"/>
    <mergeCell ref="A44:B44"/>
    <mergeCell ref="A29:B29"/>
    <mergeCell ref="A32:B32"/>
    <mergeCell ref="A33:B33"/>
    <mergeCell ref="A35:B35"/>
    <mergeCell ref="A36:B36"/>
    <mergeCell ref="A37:B37"/>
    <mergeCell ref="A38:B38"/>
    <mergeCell ref="A39:B39"/>
    <mergeCell ref="A40:B40"/>
    <mergeCell ref="A41:B41"/>
    <mergeCell ref="A42:B42"/>
    <mergeCell ref="H65:J65"/>
    <mergeCell ref="A56:B56"/>
    <mergeCell ref="A45:B45"/>
    <mergeCell ref="A46:B46"/>
    <mergeCell ref="A47:B47"/>
    <mergeCell ref="A48:B48"/>
    <mergeCell ref="A49:B49"/>
    <mergeCell ref="A50:B50"/>
    <mergeCell ref="A51:B51"/>
    <mergeCell ref="A52:B52"/>
    <mergeCell ref="A53:B53"/>
    <mergeCell ref="A54:B54"/>
    <mergeCell ref="A55:B55"/>
    <mergeCell ref="A63:L63"/>
    <mergeCell ref="A64:L64"/>
    <mergeCell ref="G4:G5"/>
    <mergeCell ref="H4:H5"/>
    <mergeCell ref="I4:I5"/>
    <mergeCell ref="J4:J5"/>
    <mergeCell ref="K4:K5"/>
    <mergeCell ref="E4:E5"/>
    <mergeCell ref="F4:F5"/>
    <mergeCell ref="A22:B22"/>
    <mergeCell ref="A4:A5"/>
    <mergeCell ref="B4:B5"/>
    <mergeCell ref="C4:C5"/>
    <mergeCell ref="D4:D5"/>
  </mergeCells>
  <printOptions horizontalCentered="1" verticalCentered="1"/>
  <pageMargins left="0.55118110236220497" right="0" top="0.118110236220472" bottom="0" header="0" footer="0"/>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48a-b</vt:lpstr>
      <vt:lpstr>'48a-b'!Print_Area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Chitananda Ellapah</dc:creator>
  <cp:lastModifiedBy>M Thancanamootoo</cp:lastModifiedBy>
  <cp:lastPrinted>2015-06-10T13:02:21Z</cp:lastPrinted>
  <dcterms:created xsi:type="dcterms:W3CDTF">2015-03-18T09:58:10Z</dcterms:created>
  <dcterms:modified xsi:type="dcterms:W3CDTF">2015-06-12T11:24:09Z</dcterms:modified>
</cp:coreProperties>
</file>