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895" activeTab="0"/>
  </bookViews>
  <sheets>
    <sheet name="50-" sheetId="1" r:id="rId1"/>
  </sheets>
  <externalReferences>
    <externalReference r:id="rId4"/>
    <externalReference r:id="rId5"/>
  </externalReferences>
  <definedNames>
    <definedName name="DATABASE">'[2]Table-1'!#REF!</definedName>
    <definedName name="_xlnm.Print_Area" localSheetId="0">'50-'!$A$1:$H$125</definedName>
    <definedName name="Print_Area_MI">#REF!</definedName>
    <definedName name="_xlnm.Print_Titles" localSheetId="0">'50-'!$A:$B</definedName>
  </definedNames>
  <calcPr fullCalcOnLoad="1"/>
</workbook>
</file>

<file path=xl/sharedStrings.xml><?xml version="1.0" encoding="utf-8"?>
<sst xmlns="http://schemas.openxmlformats.org/spreadsheetml/2006/main" count="139" uniqueCount="86">
  <si>
    <t>(Rs million)</t>
  </si>
  <si>
    <t>I.</t>
  </si>
  <si>
    <t>CURRENT ACCOUNT</t>
  </si>
  <si>
    <t>A.</t>
  </si>
  <si>
    <t>Goods and Services</t>
  </si>
  <si>
    <t xml:space="preserve"> Goods</t>
  </si>
  <si>
    <t xml:space="preserve">    Exports</t>
  </si>
  <si>
    <t xml:space="preserve">    Imports</t>
  </si>
  <si>
    <t xml:space="preserve">      General Merchandise</t>
  </si>
  <si>
    <t xml:space="preserve">        Credit</t>
  </si>
  <si>
    <t xml:space="preserve">        Debit</t>
  </si>
  <si>
    <t xml:space="preserve">      Goods procured in Ports by Carriers</t>
  </si>
  <si>
    <t xml:space="preserve">       Non-monetary Gold</t>
  </si>
  <si>
    <t xml:space="preserve">  Services</t>
  </si>
  <si>
    <t xml:space="preserve">    Credit</t>
  </si>
  <si>
    <t xml:space="preserve">      Transportation</t>
  </si>
  <si>
    <t xml:space="preserve">        Passenger</t>
  </si>
  <si>
    <t xml:space="preserve">        Freight</t>
  </si>
  <si>
    <t xml:space="preserve">        Other</t>
  </si>
  <si>
    <t xml:space="preserve">      Travel</t>
  </si>
  <si>
    <t xml:space="preserve">        Business</t>
  </si>
  <si>
    <t xml:space="preserve">        Personal</t>
  </si>
  <si>
    <t xml:space="preserve">      Other Services</t>
  </si>
  <si>
    <t xml:space="preserve">        Private</t>
  </si>
  <si>
    <t xml:space="preserve">        Government</t>
  </si>
  <si>
    <t xml:space="preserve">    Debit</t>
  </si>
  <si>
    <t>B.</t>
  </si>
  <si>
    <t xml:space="preserve">  Income</t>
  </si>
  <si>
    <t xml:space="preserve">    Credit </t>
  </si>
  <si>
    <t xml:space="preserve">      Compensation of Employees</t>
  </si>
  <si>
    <t xml:space="preserve">      Direct Investment Income</t>
  </si>
  <si>
    <t xml:space="preserve">      Portfolio Investment Income</t>
  </si>
  <si>
    <t xml:space="preserve">      Other Investment Income</t>
  </si>
  <si>
    <t xml:space="preserve">         Monetary Authorities</t>
  </si>
  <si>
    <t xml:space="preserve">         General Government</t>
  </si>
  <si>
    <t xml:space="preserve">      Compensation to employees</t>
  </si>
  <si>
    <t>C.</t>
  </si>
  <si>
    <t xml:space="preserve">  Current Transfers</t>
  </si>
  <si>
    <t xml:space="preserve">      Private</t>
  </si>
  <si>
    <t xml:space="preserve">      Government</t>
  </si>
  <si>
    <t>II.</t>
  </si>
  <si>
    <t>CAPITAL AND FINANCIAL ACCOUNT</t>
  </si>
  <si>
    <t>D.</t>
  </si>
  <si>
    <t xml:space="preserve">  Capital Account </t>
  </si>
  <si>
    <t xml:space="preserve">      Migrants' Transfers</t>
  </si>
  <si>
    <t>E.</t>
  </si>
  <si>
    <t xml:space="preserve">    Direct Investment</t>
  </si>
  <si>
    <t xml:space="preserve">      Abroad</t>
  </si>
  <si>
    <t xml:space="preserve">      In Mauritius</t>
  </si>
  <si>
    <t xml:space="preserve">    Portfolio Investment </t>
  </si>
  <si>
    <t xml:space="preserve">      Assets</t>
  </si>
  <si>
    <t xml:space="preserve">       Equity Securities</t>
  </si>
  <si>
    <t xml:space="preserve">       Debt Securities</t>
  </si>
  <si>
    <t xml:space="preserve">     Liabilities</t>
  </si>
  <si>
    <t xml:space="preserve">   Other Investment </t>
  </si>
  <si>
    <t xml:space="preserve">     Assets</t>
  </si>
  <si>
    <t xml:space="preserve">       General Government</t>
  </si>
  <si>
    <t xml:space="preserve">       Banks</t>
  </si>
  <si>
    <t xml:space="preserve">       Other Sectors: Long-term</t>
  </si>
  <si>
    <t xml:space="preserve">       Other Sectors: Short-term</t>
  </si>
  <si>
    <t xml:space="preserve">   Reserve Assets</t>
  </si>
  <si>
    <t xml:space="preserve">      Monetary Gold</t>
  </si>
  <si>
    <t xml:space="preserve">      Special Drawing Rights</t>
  </si>
  <si>
    <t xml:space="preserve">      Reserve Position in the Fund</t>
  </si>
  <si>
    <t xml:space="preserve">      Foreign Exchange</t>
  </si>
  <si>
    <t xml:space="preserve">      Other Claims</t>
  </si>
  <si>
    <t>III.</t>
  </si>
  <si>
    <t>NET ERRORS AND OMISSIONS</t>
  </si>
  <si>
    <r>
      <t xml:space="preserve">  Financial Account </t>
    </r>
  </si>
  <si>
    <t>Continued on next page</t>
  </si>
  <si>
    <t xml:space="preserve">       Monetary Authorities</t>
  </si>
  <si>
    <t xml:space="preserve">         Banks</t>
  </si>
  <si>
    <t xml:space="preserve">         Other Sectors</t>
  </si>
  <si>
    <t>Figures may not add up to totals due to rounding.</t>
  </si>
  <si>
    <t>Source : Statistics Division.</t>
  </si>
  <si>
    <t xml:space="preserve">      o/w global business</t>
  </si>
  <si>
    <r>
      <t xml:space="preserve">1 </t>
    </r>
    <r>
      <rPr>
        <i/>
        <sz val="16"/>
        <rFont val="Times New Roman"/>
        <family val="1"/>
      </rPr>
      <t xml:space="preserve">Revised.                 </t>
    </r>
    <r>
      <rPr>
        <i/>
        <vertAlign val="superscript"/>
        <sz val="16"/>
        <rFont val="Times New Roman"/>
        <family val="1"/>
      </rPr>
      <t xml:space="preserve"> 2</t>
    </r>
    <r>
      <rPr>
        <i/>
        <sz val="16"/>
        <rFont val="Times New Roman"/>
        <family val="1"/>
      </rPr>
      <t xml:space="preserve"> Provisional.</t>
    </r>
  </si>
  <si>
    <r>
      <t xml:space="preserve">2011 </t>
    </r>
    <r>
      <rPr>
        <b/>
        <vertAlign val="superscript"/>
        <sz val="18"/>
        <rFont val="Times New Roman"/>
        <family val="1"/>
      </rPr>
      <t>1</t>
    </r>
  </si>
  <si>
    <r>
      <t>1st Quarter</t>
    </r>
    <r>
      <rPr>
        <b/>
        <vertAlign val="superscript"/>
        <sz val="18"/>
        <rFont val="Times New Roman"/>
        <family val="1"/>
      </rPr>
      <t xml:space="preserve"> </t>
    </r>
  </si>
  <si>
    <t xml:space="preserve">2nd Quarter </t>
  </si>
  <si>
    <t xml:space="preserve">3rd Quarter </t>
  </si>
  <si>
    <r>
      <t>4th Quarter</t>
    </r>
    <r>
      <rPr>
        <b/>
        <vertAlign val="superscript"/>
        <sz val="18"/>
        <rFont val="Times New Roman"/>
        <family val="1"/>
      </rPr>
      <t xml:space="preserve"> </t>
    </r>
  </si>
  <si>
    <r>
      <t>1st
Quarter</t>
    </r>
    <r>
      <rPr>
        <b/>
        <vertAlign val="superscript"/>
        <sz val="18"/>
        <rFont val="Times New Roman"/>
        <family val="1"/>
      </rPr>
      <t xml:space="preserve"> 2</t>
    </r>
  </si>
  <si>
    <r>
      <t xml:space="preserve">1st 
Quarter </t>
    </r>
    <r>
      <rPr>
        <b/>
        <vertAlign val="superscript"/>
        <sz val="18"/>
        <rFont val="Times New Roman"/>
        <family val="1"/>
      </rPr>
      <t>2</t>
    </r>
  </si>
  <si>
    <t># The Balance of Payments coverage has been extended to include cross border transactions of GBC1s since January 2010.  For further information, please refer to the methodological note that has been released on the Bank's website in its March 2012 Monthly Statistical Bulletin Issue.</t>
  </si>
  <si>
    <r>
      <t>Table 50: Balance of Payments</t>
    </r>
    <r>
      <rPr>
        <b/>
        <vertAlign val="superscript"/>
        <sz val="24"/>
        <rFont val="Times New Roman"/>
        <family val="1"/>
      </rPr>
      <t xml:space="preserve"> # </t>
    </r>
    <r>
      <rPr>
        <b/>
        <sz val="24"/>
        <rFont val="Times New Roman"/>
        <family val="1"/>
      </rPr>
      <t xml:space="preserve"> - Calendar Year 2011 and First Quarter 2012 (including estimates for GBC1s cross-border transactions)</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</si>
</sst>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Rs.&quot;* #,##0_);_(&quot;Rs.&quot;* \(#,##0\);_(&quot;Rs.&quot;* &quot;-&quot;_);_(@_)"/>
    <numFmt numFmtId="174" formatCode="_(&quot;Rs.&quot;* #,##0.00_);_(&quot;Rs.&quot;* \(#,##0.00\);_(&quot;Rs.&quot;* &quot;-&quot;??_);_(@_)"/>
    <numFmt numFmtId="175" formatCode="#,##0.0_);\(#,##0.0\)"/>
    <numFmt numFmtId="176" formatCode="#,##0.0"/>
    <numFmt numFmtId="177" formatCode="0.000"/>
    <numFmt numFmtId="178" formatCode="#,##0.000_);\(#,##0.000\)"/>
    <numFmt numFmtId="179" formatCode="#.##0"/>
    <numFmt numFmtId="180" formatCode="0.0000"/>
    <numFmt numFmtId="181" formatCode="0.0_);\(0.0\)"/>
    <numFmt numFmtId="182" formatCode="00"/>
    <numFmt numFmtId="183" formatCode="#,##0.000"/>
    <numFmt numFmtId="184" formatCode="_(* #,##0.0_);_(* \(#,##0.0\);_(* &quot;-&quot;??_);_(@_)"/>
    <numFmt numFmtId="185" formatCode="_(* #,##0_);_(* \(#,##0\);_(* &quot;-&quot;??_);_(@_)"/>
    <numFmt numFmtId="186" formatCode="_(* #,##0.0000_);_(* \(#,##0.0000\);_(* &quot;-&quot;????_);_(@_)"/>
    <numFmt numFmtId="187" formatCode="0.00000"/>
    <numFmt numFmtId="188" formatCode="#,##0.0000"/>
    <numFmt numFmtId="189" formatCode="m/d"/>
    <numFmt numFmtId="190" formatCode="0.000000"/>
    <numFmt numFmtId="191" formatCode="0.00000000"/>
    <numFmt numFmtId="192" formatCode="0.0000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809]#,##0.0"/>
    <numFmt numFmtId="200" formatCode="[$£-809]#,##0.00"/>
    <numFmt numFmtId="201" formatCode="mmmm\ d\,\ yyyy"/>
    <numFmt numFmtId="202" formatCode="#,##0.00000"/>
    <numFmt numFmtId="203" formatCode="\(0\)"/>
    <numFmt numFmtId="204" formatCode="0.00000E+00"/>
    <numFmt numFmtId="205" formatCode="\(0.000\)"/>
    <numFmt numFmtId="206" formatCode="0.0\ \ \ \ \ "/>
    <numFmt numFmtId="207" formatCode="#,##0.0\ "/>
    <numFmt numFmtId="208" formatCode="0.0%"/>
    <numFmt numFmtId="209" formatCode="_-* #,##0.0000_-;\-* #,##0.0000_-;_-* &quot;-&quot;??_-;_-@_-"/>
    <numFmt numFmtId="210" formatCode="_-* #,##0.0_-;\-* #,##0.0_-;_-* &quot;-&quot;??_-;_-@_-"/>
    <numFmt numFmtId="211" formatCode="_-* #,##0.0_-;\-* #,##0.0_-;_-* &quot;-&quot;?_-;_-@_-"/>
    <numFmt numFmtId="212" formatCode="_(* #,##0.000_);_(* \(#,##0.000\);_(* &quot;-&quot;???_);_(@_)"/>
    <numFmt numFmtId="213" formatCode="_(* #,##0.000_);_(* \(#,##0.000\);_(* &quot;-&quot;??_);_(@_)"/>
    <numFmt numFmtId="214" formatCode="_-* #,##0.000_-;\-* #,##0.000_-;_-* &quot;-&quot;??_-;_-@_-"/>
    <numFmt numFmtId="215" formatCode="0.000000000"/>
    <numFmt numFmtId="216" formatCode="0.0000000000"/>
    <numFmt numFmtId="217" formatCode="_-* #,##0.00000_-;\-* #,##0.00000_-;_-* &quot;-&quot;??_-;_-@_-"/>
    <numFmt numFmtId="218" formatCode="_-* #,##0.000000_-;\-* #,##0.000000_-;_-* &quot;-&quot;??_-;_-@_-"/>
    <numFmt numFmtId="219" formatCode="[$€-2]\ #,##0.0"/>
    <numFmt numFmtId="220" formatCode="[$-409]dddd\,\ mmmm\ dd\,\ yyyy"/>
    <numFmt numFmtId="221" formatCode="[$-409]mmm\-yy;@"/>
    <numFmt numFmtId="222" formatCode="mmm\-yyyy"/>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Helv"/>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6"/>
      <name val="Times New Roman"/>
      <family val="1"/>
    </font>
    <font>
      <sz val="10"/>
      <name val="Times New Roman"/>
      <family val="1"/>
    </font>
    <font>
      <b/>
      <i/>
      <sz val="14"/>
      <name val="Times New Roman"/>
      <family val="1"/>
    </font>
    <font>
      <i/>
      <sz val="14"/>
      <name val="Times New Roman"/>
      <family val="1"/>
    </font>
    <font>
      <b/>
      <sz val="14"/>
      <name val="Times New Roman"/>
      <family val="1"/>
    </font>
    <font>
      <b/>
      <sz val="15"/>
      <name val="Times New Roman"/>
      <family val="1"/>
    </font>
    <font>
      <sz val="15"/>
      <name val="Times New Roman"/>
      <family val="1"/>
    </font>
    <font>
      <i/>
      <sz val="15"/>
      <name val="Times New Roman"/>
      <family val="1"/>
    </font>
    <font>
      <i/>
      <sz val="9"/>
      <name val="Arial"/>
      <family val="2"/>
    </font>
    <font>
      <sz val="18"/>
      <name val="Times New Roman"/>
      <family val="1"/>
    </font>
    <font>
      <i/>
      <sz val="18"/>
      <name val="Times New Roman"/>
      <family val="1"/>
    </font>
    <font>
      <b/>
      <sz val="18"/>
      <name val="Times New Roman"/>
      <family val="1"/>
    </font>
    <font>
      <b/>
      <vertAlign val="superscript"/>
      <sz val="18"/>
      <name val="Times New Roman"/>
      <family val="1"/>
    </font>
    <font>
      <i/>
      <sz val="16"/>
      <name val="Times New Roman"/>
      <family val="1"/>
    </font>
    <font>
      <b/>
      <i/>
      <sz val="16"/>
      <name val="Times New Roman"/>
      <family val="1"/>
    </font>
    <font>
      <i/>
      <vertAlign val="superscript"/>
      <sz val="16"/>
      <name val="Times New Roman"/>
      <family val="1"/>
    </font>
    <font>
      <b/>
      <sz val="24"/>
      <name val="Times New Roman"/>
      <family val="1"/>
    </font>
    <font>
      <sz val="24"/>
      <name val="Arial"/>
      <family val="2"/>
    </font>
    <font>
      <sz val="16"/>
      <color indexed="8"/>
      <name val="Times New Roman"/>
      <family val="1"/>
    </font>
    <font>
      <b/>
      <vertAlign val="superscript"/>
      <sz val="24"/>
      <name val="Times New Roman"/>
      <family val="1"/>
    </font>
    <font>
      <sz val="16"/>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bgColor indexed="22"/>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style="medium"/>
      <right style="medium"/>
      <top>
        <color indexed="63"/>
      </top>
      <bottom style="medium"/>
    </border>
    <border>
      <left style="thin"/>
      <right style="thin"/>
      <top style="thin"/>
      <bottom>
        <color indexed="63"/>
      </bottom>
    </border>
    <border>
      <left style="medium"/>
      <right>
        <color indexed="63"/>
      </right>
      <top style="thin"/>
      <bottom style="thin"/>
    </border>
    <border>
      <left style="thin"/>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thin"/>
      <bottom style="thin"/>
    </border>
    <border>
      <left style="medium"/>
      <right style="medium"/>
      <top style="medium"/>
      <bottom>
        <color indexed="63"/>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style="medium"/>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28">
    <xf numFmtId="0" fontId="0" fillId="0" borderId="0" xfId="0" applyAlignment="1">
      <alignment/>
    </xf>
    <xf numFmtId="0" fontId="23" fillId="0" borderId="0" xfId="0" applyFont="1" applyAlignment="1">
      <alignment/>
    </xf>
    <xf numFmtId="0" fontId="24" fillId="0" borderId="0" xfId="58" applyFont="1" applyAlignment="1">
      <alignment horizontal="right"/>
      <protection/>
    </xf>
    <xf numFmtId="0" fontId="22" fillId="0" borderId="0" xfId="0" applyFont="1" applyAlignment="1">
      <alignment/>
    </xf>
    <xf numFmtId="0" fontId="26" fillId="24" borderId="10" xfId="58" applyFont="1" applyFill="1" applyBorder="1">
      <alignment/>
      <protection/>
    </xf>
    <xf numFmtId="0" fontId="28" fillId="0" borderId="0" xfId="0" applyFont="1" applyAlignment="1">
      <alignment/>
    </xf>
    <xf numFmtId="0" fontId="27" fillId="0" borderId="0" xfId="0" applyFont="1" applyAlignment="1">
      <alignment/>
    </xf>
    <xf numFmtId="0" fontId="21" fillId="24" borderId="10" xfId="58" applyFont="1" applyFill="1" applyBorder="1">
      <alignment/>
      <protection/>
    </xf>
    <xf numFmtId="0" fontId="25" fillId="24" borderId="10" xfId="58" applyFont="1" applyFill="1" applyBorder="1">
      <alignment/>
      <protection/>
    </xf>
    <xf numFmtId="0" fontId="29" fillId="0" borderId="0" xfId="0" applyFont="1" applyAlignment="1">
      <alignment/>
    </xf>
    <xf numFmtId="0" fontId="24" fillId="24" borderId="10" xfId="58" applyFont="1" applyFill="1" applyBorder="1">
      <alignment/>
      <protection/>
    </xf>
    <xf numFmtId="0" fontId="26" fillId="24" borderId="11" xfId="58" applyFont="1" applyFill="1" applyBorder="1">
      <alignment/>
      <protection/>
    </xf>
    <xf numFmtId="0" fontId="25" fillId="0" borderId="0" xfId="0" applyFont="1" applyAlignment="1">
      <alignment/>
    </xf>
    <xf numFmtId="0" fontId="21" fillId="0" borderId="0" xfId="0" applyFont="1" applyAlignment="1">
      <alignment/>
    </xf>
    <xf numFmtId="0" fontId="26" fillId="24" borderId="12" xfId="58" applyFont="1" applyFill="1" applyBorder="1">
      <alignment/>
      <protection/>
    </xf>
    <xf numFmtId="0" fontId="24" fillId="24" borderId="12" xfId="58" applyFont="1" applyFill="1" applyBorder="1">
      <alignment/>
      <protection/>
    </xf>
    <xf numFmtId="3" fontId="32" fillId="0" borderId="0" xfId="0" applyNumberFormat="1" applyFont="1" applyAlignment="1">
      <alignment/>
    </xf>
    <xf numFmtId="3" fontId="32" fillId="0" borderId="0" xfId="0" applyNumberFormat="1" applyFont="1" applyBorder="1" applyAlignment="1">
      <alignment horizontal="right"/>
    </xf>
    <xf numFmtId="3" fontId="33" fillId="0" borderId="13" xfId="58" applyNumberFormat="1" applyFont="1" applyFill="1" applyBorder="1" applyAlignment="1">
      <alignment/>
      <protection/>
    </xf>
    <xf numFmtId="3" fontId="33" fillId="0" borderId="13" xfId="0" applyNumberFormat="1" applyFont="1" applyBorder="1" applyAlignment="1">
      <alignment/>
    </xf>
    <xf numFmtId="3" fontId="31" fillId="0" borderId="13" xfId="0" applyNumberFormat="1" applyFont="1" applyBorder="1" applyAlignment="1">
      <alignment/>
    </xf>
    <xf numFmtId="3" fontId="31" fillId="0" borderId="13" xfId="58" applyNumberFormat="1" applyFont="1" applyFill="1" applyBorder="1" applyAlignment="1">
      <alignment/>
      <protection/>
    </xf>
    <xf numFmtId="3" fontId="32" fillId="0" borderId="13" xfId="58" applyNumberFormat="1" applyFont="1" applyBorder="1" applyAlignment="1">
      <alignment/>
      <protection/>
    </xf>
    <xf numFmtId="3" fontId="32" fillId="0" borderId="13" xfId="0" applyNumberFormat="1" applyFont="1" applyBorder="1" applyAlignment="1">
      <alignment/>
    </xf>
    <xf numFmtId="3" fontId="31" fillId="0" borderId="13" xfId="58" applyNumberFormat="1" applyFont="1" applyBorder="1" applyAlignment="1">
      <alignment/>
      <protection/>
    </xf>
    <xf numFmtId="3" fontId="31" fillId="0" borderId="13" xfId="42" applyNumberFormat="1" applyFont="1" applyBorder="1" applyAlignment="1">
      <alignment/>
    </xf>
    <xf numFmtId="3" fontId="33" fillId="0" borderId="13" xfId="58" applyNumberFormat="1" applyFont="1" applyBorder="1" applyAlignment="1">
      <alignment/>
      <protection/>
    </xf>
    <xf numFmtId="0" fontId="31" fillId="0" borderId="14" xfId="0" applyFont="1" applyBorder="1" applyAlignment="1">
      <alignment/>
    </xf>
    <xf numFmtId="0" fontId="31" fillId="0" borderId="0" xfId="0" applyFont="1" applyBorder="1" applyAlignment="1">
      <alignment/>
    </xf>
    <xf numFmtId="0" fontId="31" fillId="0" borderId="0" xfId="0" applyFont="1" applyAlignment="1">
      <alignment/>
    </xf>
    <xf numFmtId="0" fontId="31" fillId="0" borderId="0" xfId="0" applyFont="1" applyBorder="1" applyAlignment="1">
      <alignment/>
    </xf>
    <xf numFmtId="3" fontId="32" fillId="0" borderId="13" xfId="0" applyNumberFormat="1" applyFont="1" applyFill="1" applyBorder="1" applyAlignment="1">
      <alignment/>
    </xf>
    <xf numFmtId="0" fontId="31" fillId="0" borderId="13" xfId="0" applyFont="1" applyBorder="1" applyAlignment="1">
      <alignment/>
    </xf>
    <xf numFmtId="0" fontId="29" fillId="0" borderId="0" xfId="58" applyFont="1" applyAlignment="1">
      <alignment horizontal="right"/>
      <protection/>
    </xf>
    <xf numFmtId="0" fontId="28" fillId="24" borderId="15" xfId="58" applyFont="1" applyFill="1" applyBorder="1" applyAlignment="1">
      <alignment horizontal="center" vertical="top" wrapText="1"/>
      <protection/>
    </xf>
    <xf numFmtId="0" fontId="27" fillId="24" borderId="15" xfId="58" applyFont="1" applyFill="1" applyBorder="1">
      <alignment/>
      <protection/>
    </xf>
    <xf numFmtId="0" fontId="28" fillId="24" borderId="15" xfId="58" applyFont="1" applyFill="1" applyBorder="1">
      <alignment/>
      <protection/>
    </xf>
    <xf numFmtId="0" fontId="29" fillId="24" borderId="15" xfId="58" applyFont="1" applyFill="1" applyBorder="1">
      <alignment/>
      <protection/>
    </xf>
    <xf numFmtId="0" fontId="29" fillId="24" borderId="16" xfId="58" applyFont="1" applyFill="1" applyBorder="1">
      <alignment/>
      <protection/>
    </xf>
    <xf numFmtId="0" fontId="28" fillId="24" borderId="0" xfId="58" applyFont="1" applyFill="1" applyBorder="1" applyAlignment="1">
      <alignment horizontal="center" vertical="top" wrapText="1"/>
      <protection/>
    </xf>
    <xf numFmtId="0" fontId="27" fillId="24" borderId="16" xfId="58" applyFont="1" applyFill="1" applyBorder="1">
      <alignment/>
      <protection/>
    </xf>
    <xf numFmtId="0" fontId="35" fillId="0" borderId="0" xfId="0" applyFont="1" applyAlignment="1">
      <alignment/>
    </xf>
    <xf numFmtId="3" fontId="31" fillId="0" borderId="17" xfId="0" applyNumberFormat="1" applyFont="1" applyBorder="1" applyAlignment="1">
      <alignment/>
    </xf>
    <xf numFmtId="3" fontId="31" fillId="0" borderId="17" xfId="58" applyNumberFormat="1" applyFont="1" applyFill="1" applyBorder="1" applyAlignment="1">
      <alignment/>
      <protection/>
    </xf>
    <xf numFmtId="3" fontId="32" fillId="0" borderId="17" xfId="0" applyNumberFormat="1" applyFont="1" applyBorder="1" applyAlignment="1">
      <alignment/>
    </xf>
    <xf numFmtId="3" fontId="33" fillId="0" borderId="17" xfId="58" applyNumberFormat="1" applyFont="1" applyFill="1" applyBorder="1" applyAlignment="1">
      <alignment/>
      <protection/>
    </xf>
    <xf numFmtId="3" fontId="33" fillId="0" borderId="17" xfId="58" applyNumberFormat="1" applyFont="1" applyBorder="1" applyAlignment="1">
      <alignment/>
      <protection/>
    </xf>
    <xf numFmtId="3" fontId="31" fillId="0" borderId="17" xfId="58" applyNumberFormat="1" applyFont="1" applyBorder="1" applyAlignment="1">
      <alignment/>
      <protection/>
    </xf>
    <xf numFmtId="3" fontId="31" fillId="0" borderId="17" xfId="42" applyNumberFormat="1" applyFont="1" applyBorder="1" applyAlignment="1">
      <alignment/>
    </xf>
    <xf numFmtId="0" fontId="31" fillId="0" borderId="17" xfId="0" applyFont="1" applyBorder="1" applyAlignment="1">
      <alignment/>
    </xf>
    <xf numFmtId="3" fontId="33" fillId="0" borderId="17" xfId="0" applyNumberFormat="1" applyFont="1" applyBorder="1" applyAlignment="1">
      <alignment/>
    </xf>
    <xf numFmtId="3" fontId="32" fillId="0" borderId="17" xfId="58" applyNumberFormat="1" applyFont="1" applyBorder="1" applyAlignment="1">
      <alignment/>
      <protection/>
    </xf>
    <xf numFmtId="3" fontId="33" fillId="0" borderId="15" xfId="58" applyNumberFormat="1" applyFont="1" applyFill="1" applyBorder="1" applyAlignment="1">
      <alignment/>
      <protection/>
    </xf>
    <xf numFmtId="0" fontId="31" fillId="0" borderId="18" xfId="0" applyFont="1" applyBorder="1" applyAlignment="1">
      <alignment/>
    </xf>
    <xf numFmtId="0" fontId="33" fillId="24" borderId="19" xfId="58" applyFont="1" applyFill="1" applyBorder="1" applyAlignment="1">
      <alignment horizontal="center" vertical="center" wrapText="1"/>
      <protection/>
    </xf>
    <xf numFmtId="3" fontId="33" fillId="0" borderId="0" xfId="58" applyNumberFormat="1" applyFont="1" applyFill="1" applyBorder="1" applyAlignment="1">
      <alignment/>
      <protection/>
    </xf>
    <xf numFmtId="0" fontId="31" fillId="0" borderId="20" xfId="0" applyFont="1" applyBorder="1" applyAlignment="1">
      <alignment/>
    </xf>
    <xf numFmtId="0" fontId="31" fillId="0" borderId="21" xfId="0" applyFont="1" applyBorder="1" applyAlignment="1">
      <alignment/>
    </xf>
    <xf numFmtId="3" fontId="31" fillId="0" borderId="22" xfId="0" applyNumberFormat="1" applyFont="1" applyBorder="1" applyAlignment="1">
      <alignment/>
    </xf>
    <xf numFmtId="1" fontId="36" fillId="0" borderId="0" xfId="0" applyNumberFormat="1" applyFont="1" applyAlignment="1">
      <alignment/>
    </xf>
    <xf numFmtId="0" fontId="37" fillId="0" borderId="0" xfId="58" applyFont="1">
      <alignment/>
      <protection/>
    </xf>
    <xf numFmtId="0" fontId="35" fillId="0" borderId="0" xfId="58" applyFont="1">
      <alignment/>
      <protection/>
    </xf>
    <xf numFmtId="3" fontId="31" fillId="0" borderId="0" xfId="0" applyNumberFormat="1" applyFont="1" applyBorder="1" applyAlignment="1">
      <alignment/>
    </xf>
    <xf numFmtId="0" fontId="33" fillId="24" borderId="23" xfId="58" applyFont="1" applyFill="1" applyBorder="1" applyAlignment="1">
      <alignment horizontal="center" vertical="center" wrapText="1"/>
      <protection/>
    </xf>
    <xf numFmtId="0" fontId="33" fillId="24" borderId="24" xfId="58" applyFont="1" applyFill="1" applyBorder="1" applyAlignment="1">
      <alignment horizontal="center" vertical="center" wrapText="1"/>
      <protection/>
    </xf>
    <xf numFmtId="3" fontId="33" fillId="0" borderId="25" xfId="58" applyNumberFormat="1" applyFont="1" applyFill="1" applyBorder="1" applyAlignment="1">
      <alignment/>
      <protection/>
    </xf>
    <xf numFmtId="3" fontId="32" fillId="0" borderId="17" xfId="0" applyNumberFormat="1" applyFont="1" applyFill="1" applyBorder="1" applyAlignment="1">
      <alignment/>
    </xf>
    <xf numFmtId="3" fontId="31" fillId="0" borderId="13" xfId="0" applyNumberFormat="1" applyFont="1" applyFill="1" applyBorder="1" applyAlignment="1">
      <alignment/>
    </xf>
    <xf numFmtId="0" fontId="31" fillId="0" borderId="11" xfId="0" applyFont="1" applyBorder="1" applyAlignment="1">
      <alignment/>
    </xf>
    <xf numFmtId="3" fontId="31" fillId="0" borderId="25" xfId="0" applyNumberFormat="1" applyFont="1" applyBorder="1" applyAlignment="1">
      <alignment/>
    </xf>
    <xf numFmtId="3" fontId="33" fillId="0" borderId="10" xfId="58" applyNumberFormat="1" applyFont="1" applyFill="1" applyBorder="1" applyAlignment="1">
      <alignment/>
      <protection/>
    </xf>
    <xf numFmtId="3" fontId="33" fillId="0" borderId="10" xfId="0" applyNumberFormat="1" applyFont="1" applyBorder="1" applyAlignment="1">
      <alignment/>
    </xf>
    <xf numFmtId="3" fontId="31" fillId="0" borderId="10" xfId="0" applyNumberFormat="1" applyFont="1" applyBorder="1" applyAlignment="1">
      <alignment/>
    </xf>
    <xf numFmtId="3" fontId="31" fillId="0" borderId="10" xfId="58" applyNumberFormat="1" applyFont="1" applyFill="1" applyBorder="1" applyAlignment="1">
      <alignment/>
      <protection/>
    </xf>
    <xf numFmtId="3" fontId="31" fillId="0" borderId="10" xfId="0" applyNumberFormat="1" applyFont="1" applyFill="1" applyBorder="1" applyAlignment="1">
      <alignment/>
    </xf>
    <xf numFmtId="3" fontId="32" fillId="0" borderId="10" xfId="0" applyNumberFormat="1" applyFont="1" applyBorder="1" applyAlignment="1">
      <alignment/>
    </xf>
    <xf numFmtId="3" fontId="31" fillId="0" borderId="10" xfId="42" applyNumberFormat="1" applyFont="1" applyBorder="1" applyAlignment="1">
      <alignment/>
    </xf>
    <xf numFmtId="3" fontId="33" fillId="0" borderId="10" xfId="58" applyNumberFormat="1" applyFont="1" applyBorder="1" applyAlignment="1">
      <alignment/>
      <protection/>
    </xf>
    <xf numFmtId="3" fontId="31" fillId="0" borderId="0" xfId="58" applyNumberFormat="1" applyFont="1" applyFill="1" applyBorder="1" applyAlignment="1">
      <alignment/>
      <protection/>
    </xf>
    <xf numFmtId="3" fontId="31" fillId="0" borderId="0" xfId="0" applyNumberFormat="1" applyFont="1" applyFill="1" applyBorder="1" applyAlignment="1">
      <alignment/>
    </xf>
    <xf numFmtId="3" fontId="32" fillId="0" borderId="0" xfId="0" applyNumberFormat="1" applyFont="1" applyBorder="1" applyAlignment="1">
      <alignment/>
    </xf>
    <xf numFmtId="3" fontId="31" fillId="0" borderId="0" xfId="42" applyNumberFormat="1" applyFont="1" applyBorder="1" applyAlignment="1">
      <alignment/>
    </xf>
    <xf numFmtId="3" fontId="33" fillId="0" borderId="0" xfId="58" applyNumberFormat="1" applyFont="1" applyBorder="1" applyAlignment="1">
      <alignment/>
      <protection/>
    </xf>
    <xf numFmtId="3" fontId="31" fillId="0" borderId="26" xfId="0" applyNumberFormat="1" applyFont="1" applyBorder="1" applyAlignment="1">
      <alignment/>
    </xf>
    <xf numFmtId="3" fontId="32" fillId="0" borderId="10" xfId="0" applyNumberFormat="1" applyFont="1" applyFill="1" applyBorder="1" applyAlignment="1">
      <alignment/>
    </xf>
    <xf numFmtId="0" fontId="31" fillId="0" borderId="10" xfId="0" applyFont="1" applyBorder="1" applyAlignment="1">
      <alignment/>
    </xf>
    <xf numFmtId="3" fontId="32" fillId="0" borderId="0" xfId="0" applyNumberFormat="1" applyFont="1" applyFill="1" applyBorder="1" applyAlignment="1">
      <alignment/>
    </xf>
    <xf numFmtId="3" fontId="28" fillId="0" borderId="0" xfId="0" applyNumberFormat="1" applyFont="1" applyAlignment="1">
      <alignment/>
    </xf>
    <xf numFmtId="3" fontId="31" fillId="0" borderId="17" xfId="0" applyNumberFormat="1" applyFont="1" applyFill="1" applyBorder="1" applyAlignment="1">
      <alignment/>
    </xf>
    <xf numFmtId="3" fontId="32" fillId="0" borderId="17" xfId="58" applyNumberFormat="1" applyFont="1" applyFill="1" applyBorder="1" applyAlignment="1">
      <alignment/>
      <protection/>
    </xf>
    <xf numFmtId="3" fontId="32" fillId="0" borderId="10" xfId="58" applyNumberFormat="1" applyFont="1" applyFill="1" applyBorder="1" applyAlignment="1">
      <alignment/>
      <protection/>
    </xf>
    <xf numFmtId="3" fontId="32" fillId="0" borderId="13" xfId="58" applyNumberFormat="1" applyFont="1" applyFill="1" applyBorder="1" applyAlignment="1">
      <alignment/>
      <protection/>
    </xf>
    <xf numFmtId="3" fontId="32" fillId="0" borderId="0" xfId="58" applyNumberFormat="1" applyFont="1" applyFill="1" applyBorder="1" applyAlignment="1">
      <alignment/>
      <protection/>
    </xf>
    <xf numFmtId="3" fontId="31" fillId="0" borderId="17" xfId="42" applyNumberFormat="1" applyFont="1" applyFill="1" applyBorder="1" applyAlignment="1">
      <alignment/>
    </xf>
    <xf numFmtId="0" fontId="33" fillId="24" borderId="27" xfId="58" applyFont="1" applyFill="1" applyBorder="1" applyAlignment="1">
      <alignment horizontal="center" vertical="center" wrapText="1"/>
      <protection/>
    </xf>
    <xf numFmtId="3" fontId="32" fillId="0" borderId="10" xfId="58" applyNumberFormat="1" applyFont="1" applyBorder="1" applyAlignment="1">
      <alignment/>
      <protection/>
    </xf>
    <xf numFmtId="3" fontId="31" fillId="0" borderId="10" xfId="58" applyNumberFormat="1" applyFont="1" applyBorder="1" applyAlignment="1">
      <alignment/>
      <protection/>
    </xf>
    <xf numFmtId="3" fontId="33" fillId="0" borderId="15" xfId="0" applyNumberFormat="1" applyFont="1" applyBorder="1" applyAlignment="1">
      <alignment/>
    </xf>
    <xf numFmtId="3" fontId="31" fillId="0" borderId="15" xfId="0" applyNumberFormat="1" applyFont="1" applyBorder="1" applyAlignment="1">
      <alignment/>
    </xf>
    <xf numFmtId="3" fontId="31" fillId="0" borderId="15" xfId="58" applyNumberFormat="1" applyFont="1" applyFill="1" applyBorder="1" applyAlignment="1">
      <alignment/>
      <protection/>
    </xf>
    <xf numFmtId="3" fontId="32" fillId="0" borderId="15" xfId="58" applyNumberFormat="1" applyFont="1" applyBorder="1" applyAlignment="1">
      <alignment/>
      <protection/>
    </xf>
    <xf numFmtId="3" fontId="32" fillId="0" borderId="15" xfId="0" applyNumberFormat="1" applyFont="1" applyBorder="1" applyAlignment="1">
      <alignment/>
    </xf>
    <xf numFmtId="3" fontId="31" fillId="0" borderId="15" xfId="58" applyNumberFormat="1" applyFont="1" applyBorder="1" applyAlignment="1">
      <alignment/>
      <protection/>
    </xf>
    <xf numFmtId="3" fontId="31" fillId="0" borderId="15" xfId="42" applyNumberFormat="1" applyFont="1" applyBorder="1" applyAlignment="1">
      <alignment/>
    </xf>
    <xf numFmtId="3" fontId="33" fillId="0" borderId="15" xfId="58" applyNumberFormat="1" applyFont="1" applyBorder="1" applyAlignment="1">
      <alignment/>
      <protection/>
    </xf>
    <xf numFmtId="3" fontId="31" fillId="0" borderId="15" xfId="0" applyNumberFormat="1" applyFont="1" applyFill="1" applyBorder="1" applyAlignment="1">
      <alignment/>
    </xf>
    <xf numFmtId="3" fontId="32" fillId="0" borderId="15" xfId="0" applyNumberFormat="1" applyFont="1" applyFill="1" applyBorder="1" applyAlignment="1">
      <alignment/>
    </xf>
    <xf numFmtId="0" fontId="31" fillId="0" borderId="16" xfId="0" applyFont="1" applyBorder="1" applyAlignment="1">
      <alignment/>
    </xf>
    <xf numFmtId="0" fontId="33" fillId="24" borderId="28" xfId="58" applyFont="1" applyFill="1" applyBorder="1" applyAlignment="1">
      <alignment horizontal="center" vertical="center"/>
      <protection/>
    </xf>
    <xf numFmtId="0" fontId="33" fillId="24" borderId="29" xfId="58" applyFont="1" applyFill="1" applyBorder="1" applyAlignment="1">
      <alignment horizontal="center" vertical="center" wrapText="1"/>
      <protection/>
    </xf>
    <xf numFmtId="0" fontId="33" fillId="24" borderId="30" xfId="58" applyFont="1" applyFill="1" applyBorder="1" applyAlignment="1">
      <alignment horizontal="center" vertical="top"/>
      <protection/>
    </xf>
    <xf numFmtId="0" fontId="33" fillId="24" borderId="31" xfId="58" applyFont="1" applyFill="1" applyBorder="1" applyAlignment="1">
      <alignment horizontal="center" vertical="top"/>
      <protection/>
    </xf>
    <xf numFmtId="0" fontId="33" fillId="24" borderId="28" xfId="58" applyFont="1" applyFill="1" applyBorder="1" applyAlignment="1">
      <alignment horizontal="center" vertical="center" wrapText="1"/>
      <protection/>
    </xf>
    <xf numFmtId="0" fontId="0" fillId="0" borderId="32" xfId="0" applyBorder="1" applyAlignment="1">
      <alignment horizontal="center" vertical="center" wrapText="1"/>
    </xf>
    <xf numFmtId="0" fontId="38" fillId="0" borderId="0" xfId="58" applyFont="1" applyAlignment="1">
      <alignment wrapText="1"/>
      <protection/>
    </xf>
    <xf numFmtId="0" fontId="39" fillId="0" borderId="0" xfId="0" applyFont="1" applyAlignment="1">
      <alignment wrapText="1"/>
    </xf>
    <xf numFmtId="0" fontId="0" fillId="0" borderId="0" xfId="0" applyAlignment="1">
      <alignment wrapText="1"/>
    </xf>
    <xf numFmtId="0" fontId="28" fillId="24" borderId="33" xfId="58" applyFont="1" applyFill="1" applyBorder="1" applyAlignment="1">
      <alignment horizontal="center" vertical="top" wrapText="1"/>
      <protection/>
    </xf>
    <xf numFmtId="0" fontId="28" fillId="24" borderId="34" xfId="58" applyFont="1" applyFill="1" applyBorder="1" applyAlignment="1">
      <alignment horizontal="center" vertical="top" wrapText="1"/>
      <protection/>
    </xf>
    <xf numFmtId="0" fontId="26" fillId="24" borderId="35" xfId="58" applyFont="1" applyFill="1" applyBorder="1" applyAlignment="1">
      <alignment horizontal="center"/>
      <protection/>
    </xf>
    <xf numFmtId="0" fontId="26" fillId="24" borderId="36" xfId="58" applyFont="1" applyFill="1" applyBorder="1" applyAlignment="1">
      <alignment horizontal="center"/>
      <protection/>
    </xf>
    <xf numFmtId="0" fontId="27" fillId="24" borderId="33" xfId="58" applyFont="1" applyFill="1" applyBorder="1" applyAlignment="1">
      <alignment horizontal="center"/>
      <protection/>
    </xf>
    <xf numFmtId="0" fontId="27" fillId="24" borderId="34" xfId="58" applyFont="1" applyFill="1" applyBorder="1" applyAlignment="1">
      <alignment horizontal="center"/>
      <protection/>
    </xf>
    <xf numFmtId="0" fontId="26" fillId="24" borderId="37" xfId="58" applyFont="1" applyFill="1" applyBorder="1" applyAlignment="1">
      <alignment horizontal="center"/>
      <protection/>
    </xf>
    <xf numFmtId="0" fontId="26" fillId="24" borderId="38" xfId="58" applyFont="1" applyFill="1" applyBorder="1" applyAlignment="1">
      <alignment horizontal="center"/>
      <protection/>
    </xf>
    <xf numFmtId="0" fontId="42" fillId="0" borderId="0" xfId="0" applyFont="1" applyAlignment="1">
      <alignment wrapText="1"/>
    </xf>
    <xf numFmtId="0" fontId="35" fillId="0" borderId="39" xfId="57" applyFont="1" applyFill="1" applyBorder="1" applyAlignment="1">
      <alignment horizontal="left" wrapText="1"/>
      <protection/>
    </xf>
    <xf numFmtId="0" fontId="22" fillId="0" borderId="0"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3" xfId="57"/>
    <cellStyle name="Normal_Quarterly BOP 200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GOVFINAN\ANNREPT\1999\tabII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BOPS-CUR\Indicators\External%20Trade\bom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II.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5"/>
  <sheetViews>
    <sheetView tabSelected="1" view="pageBreakPreview" zoomScale="60" zoomScaleNormal="75" zoomScalePageLayoutView="0" workbookViewId="0" topLeftCell="A1">
      <pane xSplit="2" ySplit="5" topLeftCell="C6" activePane="bottomRight" state="frozen"/>
      <selection pane="topLeft" activeCell="A1" sqref="A1"/>
      <selection pane="topRight" activeCell="C1" sqref="C1"/>
      <selection pane="bottomLeft" activeCell="A5" sqref="A5"/>
      <selection pane="bottomRight" activeCell="E5" sqref="E5"/>
    </sheetView>
  </sheetViews>
  <sheetFormatPr defaultColWidth="9.140625" defaultRowHeight="12.75"/>
  <cols>
    <col min="1" max="1" width="4.8515625" style="13" customWidth="1"/>
    <col min="2" max="2" width="56.57421875" style="5" customWidth="1"/>
    <col min="3" max="8" width="16.421875" style="29" customWidth="1"/>
    <col min="9" max="9" width="14.00390625" style="1" bestFit="1" customWidth="1"/>
    <col min="10" max="16384" width="9.140625" style="1" customWidth="1"/>
  </cols>
  <sheetData>
    <row r="1" spans="1:8" ht="31.5" customHeight="1">
      <c r="A1" s="114" t="s">
        <v>85</v>
      </c>
      <c r="B1" s="115"/>
      <c r="C1" s="115"/>
      <c r="D1" s="115"/>
      <c r="E1" s="115"/>
      <c r="F1" s="115"/>
      <c r="G1" s="116"/>
      <c r="H1" s="116"/>
    </row>
    <row r="2" spans="1:8" ht="48" customHeight="1">
      <c r="A2" s="115"/>
      <c r="B2" s="115"/>
      <c r="C2" s="115"/>
      <c r="D2" s="115"/>
      <c r="E2" s="115"/>
      <c r="F2" s="115"/>
      <c r="G2" s="116"/>
      <c r="H2" s="116"/>
    </row>
    <row r="3" spans="1:8" ht="31.5" customHeight="1" thickBot="1">
      <c r="A3" s="2"/>
      <c r="B3" s="33"/>
      <c r="C3" s="16"/>
      <c r="D3" s="17"/>
      <c r="E3" s="17"/>
      <c r="F3" s="17"/>
      <c r="G3" s="17"/>
      <c r="H3" s="17" t="s">
        <v>0</v>
      </c>
    </row>
    <row r="4" spans="1:8" s="3" customFormat="1" ht="29.25" customHeight="1" thickBot="1">
      <c r="A4" s="119"/>
      <c r="B4" s="117"/>
      <c r="C4" s="110" t="s">
        <v>77</v>
      </c>
      <c r="D4" s="111"/>
      <c r="E4" s="111"/>
      <c r="F4" s="111"/>
      <c r="G4" s="112" t="s">
        <v>77</v>
      </c>
      <c r="H4" s="108">
        <v>2012</v>
      </c>
    </row>
    <row r="5" spans="1:8" s="3" customFormat="1" ht="49.5" customHeight="1">
      <c r="A5" s="120"/>
      <c r="B5" s="118"/>
      <c r="C5" s="94" t="s">
        <v>78</v>
      </c>
      <c r="D5" s="64" t="s">
        <v>79</v>
      </c>
      <c r="E5" s="64" t="s">
        <v>80</v>
      </c>
      <c r="F5" s="54" t="s">
        <v>81</v>
      </c>
      <c r="G5" s="113"/>
      <c r="H5" s="109" t="s">
        <v>82</v>
      </c>
    </row>
    <row r="6" spans="1:8" s="5" customFormat="1" ht="13.5" customHeight="1">
      <c r="A6" s="4"/>
      <c r="B6" s="34"/>
      <c r="C6" s="70"/>
      <c r="D6" s="18"/>
      <c r="E6" s="18"/>
      <c r="F6" s="52"/>
      <c r="G6" s="45"/>
      <c r="H6" s="65"/>
    </row>
    <row r="7" spans="1:8" s="6" customFormat="1" ht="27.75" customHeight="1">
      <c r="A7" s="4" t="s">
        <v>1</v>
      </c>
      <c r="B7" s="35" t="s">
        <v>2</v>
      </c>
      <c r="C7" s="71">
        <f aca="true" t="shared" si="0" ref="C7:H7">C8+C42+C73</f>
        <v>-4139.375</v>
      </c>
      <c r="D7" s="19">
        <f t="shared" si="0"/>
        <v>-9686.5</v>
      </c>
      <c r="E7" s="19">
        <f t="shared" si="0"/>
        <v>-12649.75</v>
      </c>
      <c r="F7" s="97">
        <f t="shared" si="0"/>
        <v>-14204</v>
      </c>
      <c r="G7" s="50">
        <f t="shared" si="0"/>
        <v>-40679.625</v>
      </c>
      <c r="H7" s="50">
        <f t="shared" si="0"/>
        <v>-4260</v>
      </c>
    </row>
    <row r="8" spans="1:8" s="6" customFormat="1" ht="27.75" customHeight="1">
      <c r="A8" s="4" t="s">
        <v>3</v>
      </c>
      <c r="B8" s="35" t="s">
        <v>4</v>
      </c>
      <c r="C8" s="71">
        <f aca="true" t="shared" si="1" ref="C8:H8">C9+C19</f>
        <v>-6910</v>
      </c>
      <c r="D8" s="19">
        <f t="shared" si="1"/>
        <v>-10499</v>
      </c>
      <c r="E8" s="19">
        <f t="shared" si="1"/>
        <v>-12135</v>
      </c>
      <c r="F8" s="97">
        <f t="shared" si="1"/>
        <v>-12978</v>
      </c>
      <c r="G8" s="50">
        <f t="shared" si="1"/>
        <v>-42522</v>
      </c>
      <c r="H8" s="50">
        <f t="shared" si="1"/>
        <v>-7680</v>
      </c>
    </row>
    <row r="9" spans="1:8" s="6" customFormat="1" ht="27.75" customHeight="1">
      <c r="A9" s="4"/>
      <c r="B9" s="35" t="s">
        <v>5</v>
      </c>
      <c r="C9" s="71">
        <f aca="true" t="shared" si="2" ref="C9:H9">C10+C11</f>
        <v>-15154</v>
      </c>
      <c r="D9" s="19">
        <f t="shared" si="2"/>
        <v>-14724</v>
      </c>
      <c r="E9" s="19">
        <f t="shared" si="2"/>
        <v>-14905</v>
      </c>
      <c r="F9" s="97">
        <f t="shared" si="2"/>
        <v>-20705</v>
      </c>
      <c r="G9" s="50">
        <f t="shared" si="2"/>
        <v>-65488</v>
      </c>
      <c r="H9" s="50">
        <f t="shared" si="2"/>
        <v>-17208</v>
      </c>
    </row>
    <row r="10" spans="1:8" s="5" customFormat="1" ht="27.75" customHeight="1">
      <c r="A10" s="4"/>
      <c r="B10" s="36" t="s">
        <v>6</v>
      </c>
      <c r="C10" s="72">
        <v>17776</v>
      </c>
      <c r="D10" s="20">
        <v>18418</v>
      </c>
      <c r="E10" s="20">
        <v>20064</v>
      </c>
      <c r="F10" s="98">
        <v>19658</v>
      </c>
      <c r="G10" s="42">
        <f aca="true" t="shared" si="3" ref="G10:G54">C10+D10+E10+F10</f>
        <v>75916</v>
      </c>
      <c r="H10" s="42">
        <v>18232</v>
      </c>
    </row>
    <row r="11" spans="1:8" s="5" customFormat="1" ht="27.75" customHeight="1">
      <c r="A11" s="4"/>
      <c r="B11" s="36" t="s">
        <v>7</v>
      </c>
      <c r="C11" s="73">
        <v>-32930</v>
      </c>
      <c r="D11" s="21">
        <v>-33142</v>
      </c>
      <c r="E11" s="21">
        <v>-34969</v>
      </c>
      <c r="F11" s="99">
        <v>-40363</v>
      </c>
      <c r="G11" s="43">
        <f t="shared" si="3"/>
        <v>-141404</v>
      </c>
      <c r="H11" s="43">
        <v>-35440</v>
      </c>
    </row>
    <row r="12" spans="1:8" s="5" customFormat="1" ht="27.75" customHeight="1">
      <c r="A12" s="4"/>
      <c r="B12" s="36" t="s">
        <v>8</v>
      </c>
      <c r="C12" s="72">
        <f aca="true" t="shared" si="4" ref="C12:H12">C13+C14</f>
        <v>-16680</v>
      </c>
      <c r="D12" s="20">
        <f t="shared" si="4"/>
        <v>-16342</v>
      </c>
      <c r="E12" s="20">
        <f t="shared" si="4"/>
        <v>-17182</v>
      </c>
      <c r="F12" s="98">
        <f t="shared" si="4"/>
        <v>-23119</v>
      </c>
      <c r="G12" s="42">
        <f t="shared" si="4"/>
        <v>-73323</v>
      </c>
      <c r="H12" s="42">
        <f t="shared" si="4"/>
        <v>-18895</v>
      </c>
    </row>
    <row r="13" spans="1:8" s="5" customFormat="1" ht="27.75" customHeight="1">
      <c r="A13" s="4"/>
      <c r="B13" s="36" t="s">
        <v>9</v>
      </c>
      <c r="C13" s="72">
        <v>15452</v>
      </c>
      <c r="D13" s="20">
        <v>16065</v>
      </c>
      <c r="E13" s="20">
        <v>16880</v>
      </c>
      <c r="F13" s="98">
        <v>16291</v>
      </c>
      <c r="G13" s="42">
        <f t="shared" si="3"/>
        <v>64688</v>
      </c>
      <c r="H13" s="42">
        <v>15520</v>
      </c>
    </row>
    <row r="14" spans="1:8" s="5" customFormat="1" ht="27.75" customHeight="1">
      <c r="A14" s="4"/>
      <c r="B14" s="36" t="s">
        <v>10</v>
      </c>
      <c r="C14" s="72">
        <v>-32132</v>
      </c>
      <c r="D14" s="20">
        <v>-32407</v>
      </c>
      <c r="E14" s="20">
        <v>-34062</v>
      </c>
      <c r="F14" s="98">
        <v>-39410</v>
      </c>
      <c r="G14" s="42">
        <f t="shared" si="3"/>
        <v>-138011</v>
      </c>
      <c r="H14" s="42">
        <v>-34415</v>
      </c>
    </row>
    <row r="15" spans="1:8" s="5" customFormat="1" ht="27.75" customHeight="1">
      <c r="A15" s="7"/>
      <c r="B15" s="36" t="s">
        <v>11</v>
      </c>
      <c r="C15" s="73">
        <f aca="true" t="shared" si="5" ref="C15:H15">C16+C17</f>
        <v>1526</v>
      </c>
      <c r="D15" s="21">
        <f t="shared" si="5"/>
        <v>1618</v>
      </c>
      <c r="E15" s="21">
        <f t="shared" si="5"/>
        <v>2277</v>
      </c>
      <c r="F15" s="99">
        <f t="shared" si="5"/>
        <v>2414</v>
      </c>
      <c r="G15" s="43">
        <f t="shared" si="5"/>
        <v>7835</v>
      </c>
      <c r="H15" s="43">
        <f t="shared" si="5"/>
        <v>1687</v>
      </c>
    </row>
    <row r="16" spans="1:8" s="5" customFormat="1" ht="27.75" customHeight="1">
      <c r="A16" s="4"/>
      <c r="B16" s="36" t="s">
        <v>9</v>
      </c>
      <c r="C16" s="72">
        <v>2324</v>
      </c>
      <c r="D16" s="20">
        <v>2353</v>
      </c>
      <c r="E16" s="20">
        <v>3184</v>
      </c>
      <c r="F16" s="98">
        <v>3367</v>
      </c>
      <c r="G16" s="42">
        <f t="shared" si="3"/>
        <v>11228</v>
      </c>
      <c r="H16" s="42">
        <v>2712</v>
      </c>
    </row>
    <row r="17" spans="1:8" s="5" customFormat="1" ht="27.75" customHeight="1">
      <c r="A17" s="4"/>
      <c r="B17" s="36" t="s">
        <v>10</v>
      </c>
      <c r="C17" s="73">
        <v>-798</v>
      </c>
      <c r="D17" s="21">
        <v>-735</v>
      </c>
      <c r="E17" s="21">
        <v>-907</v>
      </c>
      <c r="F17" s="99">
        <v>-953</v>
      </c>
      <c r="G17" s="43">
        <f t="shared" si="3"/>
        <v>-3393</v>
      </c>
      <c r="H17" s="43">
        <v>-1025</v>
      </c>
    </row>
    <row r="18" spans="1:8" s="5" customFormat="1" ht="27.75" customHeight="1">
      <c r="A18" s="4"/>
      <c r="B18" s="36" t="s">
        <v>12</v>
      </c>
      <c r="C18" s="72">
        <v>-131</v>
      </c>
      <c r="D18" s="20">
        <v>-117</v>
      </c>
      <c r="E18" s="20">
        <v>-98</v>
      </c>
      <c r="F18" s="98">
        <v>-112</v>
      </c>
      <c r="G18" s="42">
        <f t="shared" si="3"/>
        <v>-458</v>
      </c>
      <c r="H18" s="42">
        <v>-110</v>
      </c>
    </row>
    <row r="19" spans="1:8" s="6" customFormat="1" ht="27.75" customHeight="1">
      <c r="A19" s="4"/>
      <c r="B19" s="35" t="s">
        <v>13</v>
      </c>
      <c r="C19" s="71">
        <f>C20+C31</f>
        <v>8244</v>
      </c>
      <c r="D19" s="19">
        <f>D20+D31</f>
        <v>4225</v>
      </c>
      <c r="E19" s="19">
        <f>E20+E31</f>
        <v>2770</v>
      </c>
      <c r="F19" s="97">
        <f>F20+F31</f>
        <v>7727</v>
      </c>
      <c r="G19" s="50">
        <f t="shared" si="3"/>
        <v>22966</v>
      </c>
      <c r="H19" s="50">
        <f>H20+H31</f>
        <v>9528</v>
      </c>
    </row>
    <row r="20" spans="1:8" s="5" customFormat="1" ht="27.75" customHeight="1">
      <c r="A20" s="4"/>
      <c r="B20" s="36" t="s">
        <v>14</v>
      </c>
      <c r="C20" s="73">
        <f>C21+C25+C28</f>
        <v>24618</v>
      </c>
      <c r="D20" s="21">
        <f>D21+D25+D28</f>
        <v>20455</v>
      </c>
      <c r="E20" s="21">
        <f>E21+E25+E28</f>
        <v>22951</v>
      </c>
      <c r="F20" s="99">
        <f>F21+F25+F28</f>
        <v>25822</v>
      </c>
      <c r="G20" s="43">
        <f t="shared" si="3"/>
        <v>93846</v>
      </c>
      <c r="H20" s="43">
        <f>H21+H25+H28</f>
        <v>27882</v>
      </c>
    </row>
    <row r="21" spans="1:8" s="5" customFormat="1" ht="27.75" customHeight="1">
      <c r="A21" s="4"/>
      <c r="B21" s="36" t="s">
        <v>15</v>
      </c>
      <c r="C21" s="72">
        <f>C22+C23+C24</f>
        <v>3277</v>
      </c>
      <c r="D21" s="20">
        <f>D22+D23+D24</f>
        <v>2372</v>
      </c>
      <c r="E21" s="20">
        <f>E22+E23+E24</f>
        <v>2726</v>
      </c>
      <c r="F21" s="98">
        <f>F22+F23+F24</f>
        <v>3447</v>
      </c>
      <c r="G21" s="42">
        <f t="shared" si="3"/>
        <v>11822</v>
      </c>
      <c r="H21" s="42">
        <f>H22+H23+H24</f>
        <v>3103</v>
      </c>
    </row>
    <row r="22" spans="1:8" s="9" customFormat="1" ht="27.75" customHeight="1">
      <c r="A22" s="8"/>
      <c r="B22" s="37" t="s">
        <v>16</v>
      </c>
      <c r="C22" s="95">
        <v>2687</v>
      </c>
      <c r="D22" s="22">
        <v>1802</v>
      </c>
      <c r="E22" s="22">
        <v>2151</v>
      </c>
      <c r="F22" s="100">
        <v>2701</v>
      </c>
      <c r="G22" s="51">
        <f t="shared" si="3"/>
        <v>9341</v>
      </c>
      <c r="H22" s="51">
        <v>2402</v>
      </c>
    </row>
    <row r="23" spans="1:8" s="9" customFormat="1" ht="27.75" customHeight="1">
      <c r="A23" s="8"/>
      <c r="B23" s="37" t="s">
        <v>17</v>
      </c>
      <c r="C23" s="95">
        <v>167</v>
      </c>
      <c r="D23" s="22">
        <v>181</v>
      </c>
      <c r="E23" s="22">
        <v>196</v>
      </c>
      <c r="F23" s="100">
        <v>193</v>
      </c>
      <c r="G23" s="51">
        <f t="shared" si="3"/>
        <v>737</v>
      </c>
      <c r="H23" s="51">
        <v>151</v>
      </c>
    </row>
    <row r="24" spans="1:8" s="9" customFormat="1" ht="27.75" customHeight="1">
      <c r="A24" s="8"/>
      <c r="B24" s="37" t="s">
        <v>18</v>
      </c>
      <c r="C24" s="75">
        <v>423</v>
      </c>
      <c r="D24" s="23">
        <v>389</v>
      </c>
      <c r="E24" s="23">
        <v>379</v>
      </c>
      <c r="F24" s="101">
        <v>553</v>
      </c>
      <c r="G24" s="44">
        <f t="shared" si="3"/>
        <v>1744</v>
      </c>
      <c r="H24" s="44">
        <v>550</v>
      </c>
    </row>
    <row r="25" spans="1:8" s="5" customFormat="1" ht="27.75" customHeight="1">
      <c r="A25" s="7"/>
      <c r="B25" s="36" t="s">
        <v>19</v>
      </c>
      <c r="C25" s="96">
        <f>C26+C27</f>
        <v>11949</v>
      </c>
      <c r="D25" s="24">
        <f>D26+D27</f>
        <v>9355</v>
      </c>
      <c r="E25" s="24">
        <f>E26+E27</f>
        <v>8845</v>
      </c>
      <c r="F25" s="102">
        <f>F26+F27</f>
        <v>12696</v>
      </c>
      <c r="G25" s="47">
        <f t="shared" si="3"/>
        <v>42845</v>
      </c>
      <c r="H25" s="47">
        <f>H26+H27</f>
        <v>13819</v>
      </c>
    </row>
    <row r="26" spans="1:8" s="9" customFormat="1" ht="27.75" customHeight="1">
      <c r="A26" s="8"/>
      <c r="B26" s="37" t="s">
        <v>20</v>
      </c>
      <c r="C26" s="95">
        <v>4203</v>
      </c>
      <c r="D26" s="22">
        <v>3720</v>
      </c>
      <c r="E26" s="22">
        <v>3163</v>
      </c>
      <c r="F26" s="100">
        <v>4351</v>
      </c>
      <c r="G26" s="51">
        <f t="shared" si="3"/>
        <v>15437</v>
      </c>
      <c r="H26" s="51">
        <v>5079</v>
      </c>
    </row>
    <row r="27" spans="1:8" s="9" customFormat="1" ht="27.75" customHeight="1">
      <c r="A27" s="10"/>
      <c r="B27" s="37" t="s">
        <v>21</v>
      </c>
      <c r="C27" s="75">
        <v>7746</v>
      </c>
      <c r="D27" s="23">
        <v>5635</v>
      </c>
      <c r="E27" s="23">
        <v>5682</v>
      </c>
      <c r="F27" s="101">
        <v>8345</v>
      </c>
      <c r="G27" s="44">
        <f t="shared" si="3"/>
        <v>27408</v>
      </c>
      <c r="H27" s="44">
        <v>8740</v>
      </c>
    </row>
    <row r="28" spans="1:8" s="5" customFormat="1" ht="27.75" customHeight="1">
      <c r="A28" s="4"/>
      <c r="B28" s="36" t="s">
        <v>22</v>
      </c>
      <c r="C28" s="96">
        <f>C29+C30</f>
        <v>9392</v>
      </c>
      <c r="D28" s="24">
        <f>D29+D30</f>
        <v>8728</v>
      </c>
      <c r="E28" s="24">
        <f>E29+E30</f>
        <v>11380</v>
      </c>
      <c r="F28" s="102">
        <f>F29+F30</f>
        <v>9679</v>
      </c>
      <c r="G28" s="47">
        <f t="shared" si="3"/>
        <v>39179</v>
      </c>
      <c r="H28" s="47">
        <f>H29+H30</f>
        <v>10960</v>
      </c>
    </row>
    <row r="29" spans="1:8" s="9" customFormat="1" ht="27.75" customHeight="1">
      <c r="A29" s="8"/>
      <c r="B29" s="37" t="s">
        <v>23</v>
      </c>
      <c r="C29" s="95">
        <v>8845</v>
      </c>
      <c r="D29" s="22">
        <v>8559</v>
      </c>
      <c r="E29" s="22">
        <v>11159</v>
      </c>
      <c r="F29" s="100">
        <v>9280</v>
      </c>
      <c r="G29" s="51">
        <f t="shared" si="3"/>
        <v>37843</v>
      </c>
      <c r="H29" s="51">
        <v>10793</v>
      </c>
    </row>
    <row r="30" spans="1:8" s="9" customFormat="1" ht="27.75" customHeight="1">
      <c r="A30" s="8"/>
      <c r="B30" s="37" t="s">
        <v>24</v>
      </c>
      <c r="C30" s="95">
        <v>547</v>
      </c>
      <c r="D30" s="22">
        <v>169</v>
      </c>
      <c r="E30" s="22">
        <v>221</v>
      </c>
      <c r="F30" s="100">
        <v>399</v>
      </c>
      <c r="G30" s="51">
        <f t="shared" si="3"/>
        <v>1336</v>
      </c>
      <c r="H30" s="51">
        <v>167</v>
      </c>
    </row>
    <row r="31" spans="1:8" s="5" customFormat="1" ht="27.75" customHeight="1">
      <c r="A31" s="4"/>
      <c r="B31" s="36" t="s">
        <v>25</v>
      </c>
      <c r="C31" s="72">
        <f>C32+C36+C39</f>
        <v>-16374</v>
      </c>
      <c r="D31" s="20">
        <f>D32+D36+D39</f>
        <v>-16230</v>
      </c>
      <c r="E31" s="20">
        <f>E32+E36+E39</f>
        <v>-20181</v>
      </c>
      <c r="F31" s="98">
        <f>F32+F36+F39</f>
        <v>-18095</v>
      </c>
      <c r="G31" s="42">
        <f t="shared" si="3"/>
        <v>-70880</v>
      </c>
      <c r="H31" s="42">
        <f>H32+H36+H39</f>
        <v>-18354</v>
      </c>
    </row>
    <row r="32" spans="1:8" s="5" customFormat="1" ht="27.75" customHeight="1">
      <c r="A32" s="4"/>
      <c r="B32" s="36" t="s">
        <v>15</v>
      </c>
      <c r="C32" s="72">
        <f>C33+C34+C35</f>
        <v>-4318</v>
      </c>
      <c r="D32" s="20">
        <f>D33+D34+D35</f>
        <v>-3962</v>
      </c>
      <c r="E32" s="20">
        <f>E33+E34+E35</f>
        <v>-4228</v>
      </c>
      <c r="F32" s="98">
        <f>F33+F34+F35</f>
        <v>-4991</v>
      </c>
      <c r="G32" s="42">
        <f t="shared" si="3"/>
        <v>-17499</v>
      </c>
      <c r="H32" s="42">
        <f>H33+H34+H35</f>
        <v>-4497</v>
      </c>
    </row>
    <row r="33" spans="1:8" s="9" customFormat="1" ht="27.75" customHeight="1">
      <c r="A33" s="8"/>
      <c r="B33" s="37" t="s">
        <v>16</v>
      </c>
      <c r="C33" s="95">
        <v>-168</v>
      </c>
      <c r="D33" s="22">
        <v>-239</v>
      </c>
      <c r="E33" s="22">
        <v>-225</v>
      </c>
      <c r="F33" s="100">
        <v>-150</v>
      </c>
      <c r="G33" s="51">
        <f t="shared" si="3"/>
        <v>-782</v>
      </c>
      <c r="H33" s="51">
        <v>-175</v>
      </c>
    </row>
    <row r="34" spans="1:8" s="9" customFormat="1" ht="27.75" customHeight="1">
      <c r="A34" s="8"/>
      <c r="B34" s="37" t="s">
        <v>17</v>
      </c>
      <c r="C34" s="75">
        <v>-2011</v>
      </c>
      <c r="D34" s="23">
        <v>-2007</v>
      </c>
      <c r="E34" s="23">
        <v>-2221</v>
      </c>
      <c r="F34" s="101">
        <v>-2574</v>
      </c>
      <c r="G34" s="44">
        <f t="shared" si="3"/>
        <v>-8813</v>
      </c>
      <c r="H34" s="66">
        <v>-2215</v>
      </c>
    </row>
    <row r="35" spans="1:8" s="9" customFormat="1" ht="27.75" customHeight="1">
      <c r="A35" s="8"/>
      <c r="B35" s="37" t="s">
        <v>18</v>
      </c>
      <c r="C35" s="75">
        <v>-2139</v>
      </c>
      <c r="D35" s="23">
        <v>-1716</v>
      </c>
      <c r="E35" s="23">
        <v>-1782</v>
      </c>
      <c r="F35" s="101">
        <v>-2267</v>
      </c>
      <c r="G35" s="44">
        <f t="shared" si="3"/>
        <v>-7904</v>
      </c>
      <c r="H35" s="44">
        <v>-2107</v>
      </c>
    </row>
    <row r="36" spans="1:8" s="5" customFormat="1" ht="27.75" customHeight="1">
      <c r="A36" s="7"/>
      <c r="B36" s="36" t="s">
        <v>19</v>
      </c>
      <c r="C36" s="96">
        <f>C37+C38</f>
        <v>-2812</v>
      </c>
      <c r="D36" s="24">
        <f>D37+D38</f>
        <v>-2767</v>
      </c>
      <c r="E36" s="24">
        <f>E37+E38</f>
        <v>-3211</v>
      </c>
      <c r="F36" s="102">
        <f>F37+F38</f>
        <v>-2693</v>
      </c>
      <c r="G36" s="47">
        <f t="shared" si="3"/>
        <v>-11483</v>
      </c>
      <c r="H36" s="47">
        <f>H37+H38</f>
        <v>-2575</v>
      </c>
    </row>
    <row r="37" spans="1:8" s="9" customFormat="1" ht="27.75" customHeight="1">
      <c r="A37" s="8"/>
      <c r="B37" s="37" t="s">
        <v>20</v>
      </c>
      <c r="C37" s="95">
        <v>-314</v>
      </c>
      <c r="D37" s="22">
        <v>-225</v>
      </c>
      <c r="E37" s="22">
        <v>-139</v>
      </c>
      <c r="F37" s="100">
        <v>-93</v>
      </c>
      <c r="G37" s="51">
        <f t="shared" si="3"/>
        <v>-771</v>
      </c>
      <c r="H37" s="51">
        <v>-113</v>
      </c>
    </row>
    <row r="38" spans="1:8" s="9" customFormat="1" ht="27.75" customHeight="1">
      <c r="A38" s="10"/>
      <c r="B38" s="37" t="s">
        <v>21</v>
      </c>
      <c r="C38" s="75">
        <v>-2498</v>
      </c>
      <c r="D38" s="23">
        <v>-2542</v>
      </c>
      <c r="E38" s="23">
        <v>-3072</v>
      </c>
      <c r="F38" s="101">
        <v>-2600</v>
      </c>
      <c r="G38" s="44">
        <f t="shared" si="3"/>
        <v>-10712</v>
      </c>
      <c r="H38" s="44">
        <v>-2462</v>
      </c>
    </row>
    <row r="39" spans="1:8" s="5" customFormat="1" ht="27.75" customHeight="1">
      <c r="A39" s="4"/>
      <c r="B39" s="36" t="s">
        <v>22</v>
      </c>
      <c r="C39" s="76">
        <f>C40+C41</f>
        <v>-9244</v>
      </c>
      <c r="D39" s="25">
        <f>D40+D41</f>
        <v>-9501</v>
      </c>
      <c r="E39" s="25">
        <f>E40+E41</f>
        <v>-12742</v>
      </c>
      <c r="F39" s="103">
        <f>F40+F41</f>
        <v>-10411</v>
      </c>
      <c r="G39" s="48">
        <f t="shared" si="3"/>
        <v>-41898</v>
      </c>
      <c r="H39" s="48">
        <f>H40+H41</f>
        <v>-11282</v>
      </c>
    </row>
    <row r="40" spans="1:8" s="9" customFormat="1" ht="27.75" customHeight="1">
      <c r="A40" s="10"/>
      <c r="B40" s="37" t="s">
        <v>23</v>
      </c>
      <c r="C40" s="75">
        <v>-8782</v>
      </c>
      <c r="D40" s="23">
        <v>-9242</v>
      </c>
      <c r="E40" s="23">
        <v>-12457</v>
      </c>
      <c r="F40" s="101">
        <v>-10195</v>
      </c>
      <c r="G40" s="44">
        <f t="shared" si="3"/>
        <v>-40676</v>
      </c>
      <c r="H40" s="44">
        <v>-10889</v>
      </c>
    </row>
    <row r="41" spans="1:8" s="9" customFormat="1" ht="27.75" customHeight="1">
      <c r="A41" s="10"/>
      <c r="B41" s="37" t="s">
        <v>24</v>
      </c>
      <c r="C41" s="75">
        <v>-462</v>
      </c>
      <c r="D41" s="23">
        <v>-259</v>
      </c>
      <c r="E41" s="23">
        <v>-285</v>
      </c>
      <c r="F41" s="101">
        <v>-216</v>
      </c>
      <c r="G41" s="44">
        <f t="shared" si="3"/>
        <v>-1222</v>
      </c>
      <c r="H41" s="44">
        <v>-393</v>
      </c>
    </row>
    <row r="42" spans="1:8" s="5" customFormat="1" ht="27.75" customHeight="1">
      <c r="A42" s="4" t="s">
        <v>26</v>
      </c>
      <c r="B42" s="35" t="s">
        <v>27</v>
      </c>
      <c r="C42" s="77">
        <f>C43+C61</f>
        <v>1451.625</v>
      </c>
      <c r="D42" s="26">
        <f>D43+D61</f>
        <v>-334.5</v>
      </c>
      <c r="E42" s="26">
        <f>E43+E61</f>
        <v>-567.75</v>
      </c>
      <c r="F42" s="104">
        <f>F43+F61</f>
        <v>-2502</v>
      </c>
      <c r="G42" s="46">
        <f t="shared" si="3"/>
        <v>-1952.625</v>
      </c>
      <c r="H42" s="46">
        <f>H43+H61</f>
        <v>1762</v>
      </c>
    </row>
    <row r="43" spans="1:8" s="5" customFormat="1" ht="27.75" customHeight="1">
      <c r="A43" s="4"/>
      <c r="B43" s="36" t="s">
        <v>28</v>
      </c>
      <c r="C43" s="72">
        <f>C44+C45+C47+C49</f>
        <v>25476.5</v>
      </c>
      <c r="D43" s="20">
        <f>D44+D45+D47+D49</f>
        <v>29573.75</v>
      </c>
      <c r="E43" s="20">
        <f>E44+E45+E47+E49</f>
        <v>49780.25</v>
      </c>
      <c r="F43" s="98">
        <f>F44+F45+F47+F49</f>
        <v>68061.375</v>
      </c>
      <c r="G43" s="42">
        <f t="shared" si="3"/>
        <v>172891.875</v>
      </c>
      <c r="H43" s="42">
        <f>H44+H45+H47+H49</f>
        <v>56003</v>
      </c>
    </row>
    <row r="44" spans="1:8" s="5" customFormat="1" ht="27.75" customHeight="1">
      <c r="A44" s="4"/>
      <c r="B44" s="36" t="s">
        <v>29</v>
      </c>
      <c r="C44" s="76">
        <v>5</v>
      </c>
      <c r="D44" s="25">
        <v>2</v>
      </c>
      <c r="E44" s="25">
        <v>3</v>
      </c>
      <c r="F44" s="103">
        <v>5</v>
      </c>
      <c r="G44" s="48">
        <f t="shared" si="3"/>
        <v>15</v>
      </c>
      <c r="H44" s="42">
        <v>5</v>
      </c>
    </row>
    <row r="45" spans="1:8" s="5" customFormat="1" ht="27.75" customHeight="1">
      <c r="A45" s="4"/>
      <c r="B45" s="36" t="s">
        <v>30</v>
      </c>
      <c r="C45" s="74">
        <f>12+C46</f>
        <v>18931.125</v>
      </c>
      <c r="D45" s="67">
        <f>24+D46</f>
        <v>21646.5</v>
      </c>
      <c r="E45" s="67">
        <f>32+E46</f>
        <v>39222.5</v>
      </c>
      <c r="F45" s="105">
        <f>131+F46</f>
        <v>55535</v>
      </c>
      <c r="G45" s="88">
        <f t="shared" si="3"/>
        <v>135335.125</v>
      </c>
      <c r="H45" s="42">
        <f>78+H46</f>
        <v>45121</v>
      </c>
    </row>
    <row r="46" spans="1:8" s="9" customFormat="1" ht="27.75" customHeight="1">
      <c r="A46" s="10"/>
      <c r="B46" s="37" t="s">
        <v>75</v>
      </c>
      <c r="C46" s="84">
        <f>9/8*16817</f>
        <v>18919.125</v>
      </c>
      <c r="D46" s="31">
        <f>9/8*19220</f>
        <v>21622.5</v>
      </c>
      <c r="E46" s="31">
        <f>9/8*34836</f>
        <v>39190.5</v>
      </c>
      <c r="F46" s="106">
        <f>9/8*49248</f>
        <v>55404</v>
      </c>
      <c r="G46" s="66">
        <f t="shared" si="3"/>
        <v>135136.125</v>
      </c>
      <c r="H46" s="44">
        <v>45043</v>
      </c>
    </row>
    <row r="47" spans="1:8" s="5" customFormat="1" ht="27.75" customHeight="1">
      <c r="A47" s="4"/>
      <c r="B47" s="36" t="s">
        <v>31</v>
      </c>
      <c r="C47" s="74">
        <f>55+C48</f>
        <v>1677.25</v>
      </c>
      <c r="D47" s="67">
        <f>432+D48</f>
        <v>2286</v>
      </c>
      <c r="E47" s="67">
        <f>817+E48</f>
        <v>4177.375</v>
      </c>
      <c r="F47" s="105">
        <f>289+F48</f>
        <v>5041</v>
      </c>
      <c r="G47" s="88">
        <f t="shared" si="3"/>
        <v>13181.625</v>
      </c>
      <c r="H47" s="88">
        <f>108+H48</f>
        <v>3713</v>
      </c>
    </row>
    <row r="48" spans="1:8" s="9" customFormat="1" ht="27.75" customHeight="1">
      <c r="A48" s="10"/>
      <c r="B48" s="37" t="s">
        <v>75</v>
      </c>
      <c r="C48" s="84">
        <f>9/8*1442</f>
        <v>1622.25</v>
      </c>
      <c r="D48" s="31">
        <f>9/8*1648</f>
        <v>1854</v>
      </c>
      <c r="E48" s="31">
        <f>9/8*2987</f>
        <v>3360.375</v>
      </c>
      <c r="F48" s="106">
        <f>9/8*4224</f>
        <v>4752</v>
      </c>
      <c r="G48" s="66">
        <f t="shared" si="3"/>
        <v>11588.625</v>
      </c>
      <c r="H48" s="66">
        <v>3605</v>
      </c>
    </row>
    <row r="49" spans="1:8" s="5" customFormat="1" ht="27.75" customHeight="1">
      <c r="A49" s="7"/>
      <c r="B49" s="36" t="s">
        <v>32</v>
      </c>
      <c r="C49" s="96">
        <f>C50+C51+C52+C53</f>
        <v>4863.125</v>
      </c>
      <c r="D49" s="24">
        <f>D50+D51+D52+D53</f>
        <v>5639.25</v>
      </c>
      <c r="E49" s="24">
        <f>E50+E51+E52+E53</f>
        <v>6377.375</v>
      </c>
      <c r="F49" s="102">
        <f>F50+F51+F52+F53</f>
        <v>7480.375</v>
      </c>
      <c r="G49" s="47">
        <f t="shared" si="3"/>
        <v>24360.125</v>
      </c>
      <c r="H49" s="47">
        <f>H50+H51+H52+H53</f>
        <v>7164</v>
      </c>
    </row>
    <row r="50" spans="1:8" s="9" customFormat="1" ht="27.75" customHeight="1">
      <c r="A50" s="10"/>
      <c r="B50" s="37" t="s">
        <v>34</v>
      </c>
      <c r="C50" s="75">
        <v>0</v>
      </c>
      <c r="D50" s="23">
        <v>0</v>
      </c>
      <c r="E50" s="23">
        <v>0</v>
      </c>
      <c r="F50" s="101">
        <v>0</v>
      </c>
      <c r="G50" s="44">
        <f t="shared" si="3"/>
        <v>0</v>
      </c>
      <c r="H50" s="44">
        <v>0</v>
      </c>
    </row>
    <row r="51" spans="1:8" s="9" customFormat="1" ht="27.75" customHeight="1">
      <c r="A51" s="10"/>
      <c r="B51" s="37" t="s">
        <v>33</v>
      </c>
      <c r="C51" s="75">
        <v>104</v>
      </c>
      <c r="D51" s="23">
        <v>327</v>
      </c>
      <c r="E51" s="23">
        <v>406</v>
      </c>
      <c r="F51" s="101">
        <v>190</v>
      </c>
      <c r="G51" s="44">
        <f t="shared" si="3"/>
        <v>1027</v>
      </c>
      <c r="H51" s="44">
        <v>193</v>
      </c>
    </row>
    <row r="52" spans="1:8" s="9" customFormat="1" ht="27.75" customHeight="1">
      <c r="A52" s="10"/>
      <c r="B52" s="37" t="s">
        <v>71</v>
      </c>
      <c r="C52" s="75">
        <v>3269</v>
      </c>
      <c r="D52" s="23">
        <v>3585</v>
      </c>
      <c r="E52" s="23">
        <v>3014</v>
      </c>
      <c r="F52" s="101">
        <v>3150</v>
      </c>
      <c r="G52" s="44">
        <f t="shared" si="3"/>
        <v>13018</v>
      </c>
      <c r="H52" s="44">
        <v>3805</v>
      </c>
    </row>
    <row r="53" spans="1:8" s="9" customFormat="1" ht="27.75" customHeight="1">
      <c r="A53" s="10"/>
      <c r="B53" s="37" t="s">
        <v>72</v>
      </c>
      <c r="C53" s="84">
        <f>94+C54</f>
        <v>1490.125</v>
      </c>
      <c r="D53" s="31">
        <f>132+D54</f>
        <v>1727.25</v>
      </c>
      <c r="E53" s="31">
        <f>65+E54</f>
        <v>2957.375</v>
      </c>
      <c r="F53" s="106">
        <f>51+F54</f>
        <v>4140.375</v>
      </c>
      <c r="G53" s="66">
        <f t="shared" si="3"/>
        <v>10315.125</v>
      </c>
      <c r="H53" s="66">
        <f>63+H54</f>
        <v>3166</v>
      </c>
    </row>
    <row r="54" spans="1:8" s="9" customFormat="1" ht="27.75" customHeight="1">
      <c r="A54" s="10"/>
      <c r="B54" s="37" t="s">
        <v>75</v>
      </c>
      <c r="C54" s="84">
        <f>9/8*1241</f>
        <v>1396.125</v>
      </c>
      <c r="D54" s="31">
        <f>9/8*1418</f>
        <v>1595.25</v>
      </c>
      <c r="E54" s="31">
        <f>9/8*2571</f>
        <v>2892.375</v>
      </c>
      <c r="F54" s="106">
        <f>9/8*3635</f>
        <v>4089.375</v>
      </c>
      <c r="G54" s="66">
        <f t="shared" si="3"/>
        <v>9973.125</v>
      </c>
      <c r="H54" s="66">
        <v>3103</v>
      </c>
    </row>
    <row r="55" spans="1:8" s="5" customFormat="1" ht="27.75" customHeight="1" thickBot="1">
      <c r="A55" s="11"/>
      <c r="B55" s="38"/>
      <c r="C55" s="68"/>
      <c r="D55" s="27"/>
      <c r="E55" s="27"/>
      <c r="F55" s="107"/>
      <c r="G55" s="57"/>
      <c r="H55" s="57"/>
    </row>
    <row r="56" spans="1:8" ht="22.5" customHeight="1">
      <c r="A56" s="59" t="s">
        <v>69</v>
      </c>
      <c r="B56" s="9"/>
      <c r="C56" s="28"/>
      <c r="E56" s="30"/>
      <c r="F56" s="30"/>
      <c r="G56" s="30"/>
      <c r="H56" s="30"/>
    </row>
    <row r="57" spans="1:8" ht="28.5" customHeight="1" thickBot="1">
      <c r="A57" s="12"/>
      <c r="C57" s="28"/>
      <c r="D57" s="17"/>
      <c r="F57" s="17"/>
      <c r="G57" s="17"/>
      <c r="H57" s="17" t="s">
        <v>0</v>
      </c>
    </row>
    <row r="58" spans="1:8" s="5" customFormat="1" ht="33.75" customHeight="1" thickBot="1">
      <c r="A58" s="123"/>
      <c r="B58" s="121"/>
      <c r="C58" s="110" t="s">
        <v>77</v>
      </c>
      <c r="D58" s="111"/>
      <c r="E58" s="111"/>
      <c r="F58" s="111"/>
      <c r="G58" s="112" t="s">
        <v>77</v>
      </c>
      <c r="H58" s="108">
        <v>2012</v>
      </c>
    </row>
    <row r="59" spans="1:8" s="5" customFormat="1" ht="54.75" customHeight="1">
      <c r="A59" s="124"/>
      <c r="B59" s="122"/>
      <c r="C59" s="63" t="s">
        <v>78</v>
      </c>
      <c r="D59" s="64" t="s">
        <v>79</v>
      </c>
      <c r="E59" s="54" t="s">
        <v>80</v>
      </c>
      <c r="F59" s="54" t="s">
        <v>81</v>
      </c>
      <c r="G59" s="113"/>
      <c r="H59" s="109" t="s">
        <v>83</v>
      </c>
    </row>
    <row r="60" spans="1:8" s="5" customFormat="1" ht="9.75" customHeight="1">
      <c r="A60" s="4"/>
      <c r="B60" s="39"/>
      <c r="C60" s="83"/>
      <c r="D60" s="58"/>
      <c r="E60" s="58"/>
      <c r="F60" s="62"/>
      <c r="G60" s="69"/>
      <c r="H60" s="69"/>
    </row>
    <row r="61" spans="1:8" s="5" customFormat="1" ht="24.75" customHeight="1">
      <c r="A61" s="14"/>
      <c r="B61" s="36" t="s">
        <v>25</v>
      </c>
      <c r="C61" s="73">
        <f>C62+C63+C65+C67</f>
        <v>-24024.875</v>
      </c>
      <c r="D61" s="21">
        <f>D62+D63+D65+D67</f>
        <v>-29908.25</v>
      </c>
      <c r="E61" s="21">
        <f>E62+E63+E65+E67</f>
        <v>-50348</v>
      </c>
      <c r="F61" s="78">
        <f>F62+F63+F65+F67</f>
        <v>-70563.375</v>
      </c>
      <c r="G61" s="43">
        <f>C61+D61+E61+F61</f>
        <v>-174844.5</v>
      </c>
      <c r="H61" s="43">
        <f>H62+H63+H65+H67</f>
        <v>-54241</v>
      </c>
    </row>
    <row r="62" spans="1:8" s="5" customFormat="1" ht="24.75" customHeight="1">
      <c r="A62" s="14"/>
      <c r="B62" s="36" t="s">
        <v>35</v>
      </c>
      <c r="C62" s="72">
        <v>-60</v>
      </c>
      <c r="D62" s="20">
        <v>-71</v>
      </c>
      <c r="E62" s="20">
        <v>-61</v>
      </c>
      <c r="F62" s="62">
        <v>-79</v>
      </c>
      <c r="G62" s="42">
        <f aca="true" t="shared" si="6" ref="G62:G120">C62+D62+E62+F62</f>
        <v>-271</v>
      </c>
      <c r="H62" s="42">
        <v>-60</v>
      </c>
    </row>
    <row r="63" spans="1:8" s="5" customFormat="1" ht="24.75" customHeight="1">
      <c r="A63" s="14"/>
      <c r="B63" s="36" t="s">
        <v>30</v>
      </c>
      <c r="C63" s="74">
        <f>-280+C64</f>
        <v>-21117.25</v>
      </c>
      <c r="D63" s="67">
        <f>-2226+D64</f>
        <v>-26038.875</v>
      </c>
      <c r="E63" s="67">
        <f>-1114+E64</f>
        <v>-44275.75</v>
      </c>
      <c r="F63" s="79">
        <f>-1368+F64</f>
        <v>-62390.25</v>
      </c>
      <c r="G63" s="88">
        <f t="shared" si="6"/>
        <v>-153822.125</v>
      </c>
      <c r="H63" s="88">
        <f>-523+H64</f>
        <v>-46828</v>
      </c>
    </row>
    <row r="64" spans="1:8" s="9" customFormat="1" ht="24.75" customHeight="1">
      <c r="A64" s="15"/>
      <c r="B64" s="37" t="s">
        <v>75</v>
      </c>
      <c r="C64" s="84">
        <f>9/8*-18522</f>
        <v>-20837.25</v>
      </c>
      <c r="D64" s="31">
        <f>9/8*-21167</f>
        <v>-23812.875</v>
      </c>
      <c r="E64" s="31">
        <f>9/8*-38366</f>
        <v>-43161.75</v>
      </c>
      <c r="F64" s="86">
        <f>9/8*-54242</f>
        <v>-61022.25</v>
      </c>
      <c r="G64" s="66">
        <f t="shared" si="6"/>
        <v>-148834.125</v>
      </c>
      <c r="H64" s="66">
        <v>-46305</v>
      </c>
    </row>
    <row r="65" spans="1:8" s="5" customFormat="1" ht="24.75" customHeight="1">
      <c r="A65" s="14"/>
      <c r="B65" s="36" t="s">
        <v>31</v>
      </c>
      <c r="C65" s="74">
        <f>-163+C66</f>
        <v>-1410.625</v>
      </c>
      <c r="D65" s="67">
        <f>-509+D66</f>
        <v>-1935.5</v>
      </c>
      <c r="E65" s="67">
        <f>-742+E66</f>
        <v>-3327.25</v>
      </c>
      <c r="F65" s="79">
        <f>-848+F66</f>
        <v>-4502</v>
      </c>
      <c r="G65" s="88">
        <f t="shared" si="6"/>
        <v>-11175.375</v>
      </c>
      <c r="H65" s="88">
        <f>-729+H66</f>
        <v>-3502</v>
      </c>
    </row>
    <row r="66" spans="1:8" s="9" customFormat="1" ht="24.75" customHeight="1">
      <c r="A66" s="15"/>
      <c r="B66" s="37" t="s">
        <v>75</v>
      </c>
      <c r="C66" s="84">
        <f>9/8*-1109</f>
        <v>-1247.625</v>
      </c>
      <c r="D66" s="31">
        <f>9/8*-1268</f>
        <v>-1426.5</v>
      </c>
      <c r="E66" s="31">
        <f>9/8*-2298</f>
        <v>-2585.25</v>
      </c>
      <c r="F66" s="86">
        <f>9/8*-3248</f>
        <v>-3654</v>
      </c>
      <c r="G66" s="66">
        <f t="shared" si="6"/>
        <v>-8913.375</v>
      </c>
      <c r="H66" s="66">
        <v>-2773</v>
      </c>
    </row>
    <row r="67" spans="1:8" s="5" customFormat="1" ht="24.75" customHeight="1">
      <c r="A67" s="14"/>
      <c r="B67" s="36" t="s">
        <v>32</v>
      </c>
      <c r="C67" s="73">
        <f>C68+C69+C70+C71</f>
        <v>-1437</v>
      </c>
      <c r="D67" s="21">
        <f>D68+D69+D70+D71</f>
        <v>-1862.875</v>
      </c>
      <c r="E67" s="21">
        <f>E68+E69+E70+E71</f>
        <v>-2684</v>
      </c>
      <c r="F67" s="78">
        <f>F68+F69+F70+F71</f>
        <v>-3592.125</v>
      </c>
      <c r="G67" s="43">
        <f t="shared" si="6"/>
        <v>-9576</v>
      </c>
      <c r="H67" s="43">
        <f>H68+H69+H70+H71</f>
        <v>-3851</v>
      </c>
    </row>
    <row r="68" spans="1:8" s="9" customFormat="1" ht="24.75" customHeight="1">
      <c r="A68" s="15"/>
      <c r="B68" s="37" t="s">
        <v>34</v>
      </c>
      <c r="C68" s="84">
        <v>-143</v>
      </c>
      <c r="D68" s="31">
        <v>-51</v>
      </c>
      <c r="E68" s="31">
        <v>-178</v>
      </c>
      <c r="F68" s="86">
        <v>-58</v>
      </c>
      <c r="G68" s="66">
        <f t="shared" si="6"/>
        <v>-430</v>
      </c>
      <c r="H68" s="66">
        <v>-197</v>
      </c>
    </row>
    <row r="69" spans="1:8" s="9" customFormat="1" ht="24.75" customHeight="1">
      <c r="A69" s="15"/>
      <c r="B69" s="37" t="s">
        <v>33</v>
      </c>
      <c r="C69" s="75">
        <v>-1</v>
      </c>
      <c r="D69" s="23">
        <v>-1</v>
      </c>
      <c r="E69" s="23">
        <v>-1</v>
      </c>
      <c r="F69" s="80">
        <v>-1</v>
      </c>
      <c r="G69" s="44">
        <f t="shared" si="6"/>
        <v>-4</v>
      </c>
      <c r="H69" s="44">
        <v>-1</v>
      </c>
    </row>
    <row r="70" spans="1:8" s="9" customFormat="1" ht="24.75" customHeight="1">
      <c r="A70" s="15"/>
      <c r="B70" s="37" t="s">
        <v>71</v>
      </c>
      <c r="C70" s="84">
        <v>-418</v>
      </c>
      <c r="D70" s="31">
        <v>-785</v>
      </c>
      <c r="E70" s="31">
        <v>-635</v>
      </c>
      <c r="F70" s="86">
        <v>-941</v>
      </c>
      <c r="G70" s="66">
        <f t="shared" si="6"/>
        <v>-2779</v>
      </c>
      <c r="H70" s="66">
        <v>-1642</v>
      </c>
    </row>
    <row r="71" spans="1:8" s="9" customFormat="1" ht="24.75" customHeight="1">
      <c r="A71" s="15"/>
      <c r="B71" s="37" t="s">
        <v>72</v>
      </c>
      <c r="C71" s="84">
        <f>-2+C72</f>
        <v>-875</v>
      </c>
      <c r="D71" s="31">
        <f>-28+D72</f>
        <v>-1025.875</v>
      </c>
      <c r="E71" s="31">
        <f>-61+E72</f>
        <v>-1870</v>
      </c>
      <c r="F71" s="86">
        <f>-35+F72</f>
        <v>-2592.125</v>
      </c>
      <c r="G71" s="66">
        <f t="shared" si="6"/>
        <v>-6363</v>
      </c>
      <c r="H71" s="66">
        <f>-71+H72</f>
        <v>-2011</v>
      </c>
    </row>
    <row r="72" spans="1:8" s="9" customFormat="1" ht="24.75" customHeight="1">
      <c r="A72" s="15"/>
      <c r="B72" s="36" t="s">
        <v>75</v>
      </c>
      <c r="C72" s="84">
        <f>9/8*-776</f>
        <v>-873</v>
      </c>
      <c r="D72" s="31">
        <f>9/8*-887</f>
        <v>-997.875</v>
      </c>
      <c r="E72" s="31">
        <f>9/8*-1608</f>
        <v>-1809</v>
      </c>
      <c r="F72" s="86">
        <f>9/8*-2273</f>
        <v>-2557.125</v>
      </c>
      <c r="G72" s="66">
        <f t="shared" si="6"/>
        <v>-6237</v>
      </c>
      <c r="H72" s="66">
        <v>-1940</v>
      </c>
    </row>
    <row r="73" spans="1:8" s="5" customFormat="1" ht="24.75" customHeight="1">
      <c r="A73" s="14" t="s">
        <v>36</v>
      </c>
      <c r="B73" s="35" t="s">
        <v>37</v>
      </c>
      <c r="C73" s="70">
        <f>C74+C77</f>
        <v>1319</v>
      </c>
      <c r="D73" s="18">
        <f>D74+D77</f>
        <v>1147</v>
      </c>
      <c r="E73" s="18">
        <f>E74+E77</f>
        <v>53</v>
      </c>
      <c r="F73" s="55">
        <f>F74+F77</f>
        <v>1276</v>
      </c>
      <c r="G73" s="45">
        <f t="shared" si="6"/>
        <v>3795</v>
      </c>
      <c r="H73" s="45">
        <f>H74+H77</f>
        <v>1658</v>
      </c>
    </row>
    <row r="74" spans="1:8" s="5" customFormat="1" ht="24.75" customHeight="1">
      <c r="A74" s="14"/>
      <c r="B74" s="36" t="s">
        <v>14</v>
      </c>
      <c r="C74" s="72">
        <f>C75+C76</f>
        <v>3010</v>
      </c>
      <c r="D74" s="20">
        <f>D75+D76</f>
        <v>2906</v>
      </c>
      <c r="E74" s="20">
        <f>E75+E76</f>
        <v>1941</v>
      </c>
      <c r="F74" s="62">
        <f>F75+F76</f>
        <v>3731</v>
      </c>
      <c r="G74" s="42">
        <f t="shared" si="6"/>
        <v>11588</v>
      </c>
      <c r="H74" s="42">
        <f>H75+H76</f>
        <v>3864</v>
      </c>
    </row>
    <row r="75" spans="1:8" s="5" customFormat="1" ht="24.75" customHeight="1">
      <c r="A75" s="14"/>
      <c r="B75" s="36" t="s">
        <v>38</v>
      </c>
      <c r="C75" s="73">
        <v>2974</v>
      </c>
      <c r="D75" s="21">
        <v>2765</v>
      </c>
      <c r="E75" s="21">
        <v>1804</v>
      </c>
      <c r="F75" s="78">
        <v>1538</v>
      </c>
      <c r="G75" s="43">
        <f t="shared" si="6"/>
        <v>9081</v>
      </c>
      <c r="H75" s="43">
        <v>3737</v>
      </c>
    </row>
    <row r="76" spans="1:8" s="5" customFormat="1" ht="24.75" customHeight="1">
      <c r="A76" s="14"/>
      <c r="B76" s="36" t="s">
        <v>39</v>
      </c>
      <c r="C76" s="72">
        <v>36</v>
      </c>
      <c r="D76" s="20">
        <v>141</v>
      </c>
      <c r="E76" s="20">
        <v>137</v>
      </c>
      <c r="F76" s="62">
        <v>2193</v>
      </c>
      <c r="G76" s="42">
        <f t="shared" si="6"/>
        <v>2507</v>
      </c>
      <c r="H76" s="42">
        <v>127</v>
      </c>
    </row>
    <row r="77" spans="1:8" s="5" customFormat="1" ht="24.75" customHeight="1">
      <c r="A77" s="14"/>
      <c r="B77" s="36" t="s">
        <v>25</v>
      </c>
      <c r="C77" s="72">
        <f>C78+C79</f>
        <v>-1691</v>
      </c>
      <c r="D77" s="20">
        <f>D78+D79</f>
        <v>-1759</v>
      </c>
      <c r="E77" s="20">
        <f>E78+E79</f>
        <v>-1888</v>
      </c>
      <c r="F77" s="62">
        <f>F78+F79</f>
        <v>-2455</v>
      </c>
      <c r="G77" s="42">
        <f t="shared" si="6"/>
        <v>-7793</v>
      </c>
      <c r="H77" s="42">
        <f>H78+H79</f>
        <v>-2206</v>
      </c>
    </row>
    <row r="78" spans="1:8" s="5" customFormat="1" ht="24.75" customHeight="1">
      <c r="A78" s="14"/>
      <c r="B78" s="36" t="s">
        <v>38</v>
      </c>
      <c r="C78" s="73">
        <v>-1681</v>
      </c>
      <c r="D78" s="21">
        <v>-1751</v>
      </c>
      <c r="E78" s="21">
        <v>-1879</v>
      </c>
      <c r="F78" s="78">
        <v>-2438</v>
      </c>
      <c r="G78" s="43">
        <f t="shared" si="6"/>
        <v>-7749</v>
      </c>
      <c r="H78" s="43">
        <v>-2198</v>
      </c>
    </row>
    <row r="79" spans="1:8" s="5" customFormat="1" ht="24.75" customHeight="1">
      <c r="A79" s="14"/>
      <c r="B79" s="36" t="s">
        <v>39</v>
      </c>
      <c r="C79" s="72">
        <v>-10</v>
      </c>
      <c r="D79" s="20">
        <v>-8</v>
      </c>
      <c r="E79" s="20">
        <v>-9</v>
      </c>
      <c r="F79" s="62">
        <v>-17</v>
      </c>
      <c r="G79" s="42">
        <f t="shared" si="6"/>
        <v>-44</v>
      </c>
      <c r="H79" s="42">
        <v>-8</v>
      </c>
    </row>
    <row r="80" spans="1:8" s="5" customFormat="1" ht="24.75" customHeight="1">
      <c r="A80" s="14" t="s">
        <v>40</v>
      </c>
      <c r="B80" s="35" t="s">
        <v>41</v>
      </c>
      <c r="C80" s="77">
        <f aca="true" t="shared" si="7" ref="C80:H80">C81+C83</f>
        <v>3030.775</v>
      </c>
      <c r="D80" s="26">
        <f t="shared" si="7"/>
        <v>7802.654999999999</v>
      </c>
      <c r="E80" s="26">
        <f t="shared" si="7"/>
        <v>15395.375</v>
      </c>
      <c r="F80" s="82">
        <f t="shared" si="7"/>
        <v>8741.75</v>
      </c>
      <c r="G80" s="46">
        <f t="shared" si="7"/>
        <v>34970.555</v>
      </c>
      <c r="H80" s="46">
        <f t="shared" si="7"/>
        <v>5557</v>
      </c>
    </row>
    <row r="81" spans="1:8" s="5" customFormat="1" ht="24.75" customHeight="1">
      <c r="A81" s="14" t="s">
        <v>42</v>
      </c>
      <c r="B81" s="35" t="s">
        <v>43</v>
      </c>
      <c r="C81" s="77">
        <f>C82</f>
        <v>-9</v>
      </c>
      <c r="D81" s="26">
        <f>D82</f>
        <v>-16</v>
      </c>
      <c r="E81" s="26">
        <f>E82</f>
        <v>-17</v>
      </c>
      <c r="F81" s="82">
        <f>F82</f>
        <v>-11</v>
      </c>
      <c r="G81" s="46">
        <f t="shared" si="6"/>
        <v>-53</v>
      </c>
      <c r="H81" s="46">
        <f>H82</f>
        <v>-40</v>
      </c>
    </row>
    <row r="82" spans="1:8" s="9" customFormat="1" ht="24.75" customHeight="1">
      <c r="A82" s="15"/>
      <c r="B82" s="37" t="s">
        <v>44</v>
      </c>
      <c r="C82" s="75">
        <v>-9</v>
      </c>
      <c r="D82" s="23">
        <v>-16</v>
      </c>
      <c r="E82" s="23">
        <v>-17</v>
      </c>
      <c r="F82" s="80">
        <v>-11</v>
      </c>
      <c r="G82" s="44">
        <f t="shared" si="6"/>
        <v>-53</v>
      </c>
      <c r="H82" s="44">
        <v>-40</v>
      </c>
    </row>
    <row r="83" spans="1:8" s="5" customFormat="1" ht="24.75" customHeight="1">
      <c r="A83" s="14" t="s">
        <v>45</v>
      </c>
      <c r="B83" s="35" t="s">
        <v>68</v>
      </c>
      <c r="C83" s="77">
        <f>C84+C89+C100+C115</f>
        <v>3039.775</v>
      </c>
      <c r="D83" s="26">
        <f>D84+D89+D100+D115</f>
        <v>7818.654999999999</v>
      </c>
      <c r="E83" s="26">
        <f>E84+E89+E100+E115</f>
        <v>15412.375</v>
      </c>
      <c r="F83" s="82">
        <f>F84+F89+F100+F115</f>
        <v>8752.75</v>
      </c>
      <c r="G83" s="46">
        <f t="shared" si="6"/>
        <v>35023.555</v>
      </c>
      <c r="H83" s="46">
        <f>H84+H89+H100+H115</f>
        <v>5597</v>
      </c>
    </row>
    <row r="84" spans="1:8" s="6" customFormat="1" ht="24.75" customHeight="1">
      <c r="A84" s="14"/>
      <c r="B84" s="35" t="s">
        <v>46</v>
      </c>
      <c r="C84" s="77">
        <f>C85+C87</f>
        <v>62834.75</v>
      </c>
      <c r="D84" s="26">
        <f>D85+D87</f>
        <v>104623.875</v>
      </c>
      <c r="E84" s="26">
        <f>E85+E87</f>
        <v>78836.25</v>
      </c>
      <c r="F84" s="82">
        <f>F85+F87</f>
        <v>138195.125</v>
      </c>
      <c r="G84" s="46">
        <f t="shared" si="6"/>
        <v>384490</v>
      </c>
      <c r="H84" s="46">
        <f>H85+H87</f>
        <v>141080</v>
      </c>
    </row>
    <row r="85" spans="1:8" s="5" customFormat="1" ht="24.75" customHeight="1">
      <c r="A85" s="14"/>
      <c r="B85" s="36" t="s">
        <v>47</v>
      </c>
      <c r="C85" s="74">
        <f>-572+C86</f>
        <v>-98138.75</v>
      </c>
      <c r="D85" s="67">
        <f>-559+D86</f>
        <v>-112065.625</v>
      </c>
      <c r="E85" s="67">
        <f>-950+E86</f>
        <v>-203054</v>
      </c>
      <c r="F85" s="79">
        <f>-461+F86</f>
        <v>-286195.25</v>
      </c>
      <c r="G85" s="88">
        <f t="shared" si="6"/>
        <v>-699453.625</v>
      </c>
      <c r="H85" s="88">
        <f>-656+H86</f>
        <v>-210571</v>
      </c>
    </row>
    <row r="86" spans="1:8" s="9" customFormat="1" ht="24.75" customHeight="1">
      <c r="A86" s="15"/>
      <c r="B86" s="37" t="s">
        <v>75</v>
      </c>
      <c r="C86" s="84">
        <f>9/8*-86726</f>
        <v>-97566.75</v>
      </c>
      <c r="D86" s="31">
        <f>9/8*-99117</f>
        <v>-111506.625</v>
      </c>
      <c r="E86" s="31">
        <f>9/8*-179648</f>
        <v>-202104</v>
      </c>
      <c r="F86" s="86">
        <f>9/8*-253986</f>
        <v>-285734.25</v>
      </c>
      <c r="G86" s="66">
        <f t="shared" si="6"/>
        <v>-696911.625</v>
      </c>
      <c r="H86" s="66">
        <v>-209915</v>
      </c>
    </row>
    <row r="87" spans="1:9" s="5" customFormat="1" ht="24.75" customHeight="1">
      <c r="A87" s="14"/>
      <c r="B87" s="36" t="s">
        <v>48</v>
      </c>
      <c r="C87" s="73">
        <f>1720+C88</f>
        <v>160973.5</v>
      </c>
      <c r="D87" s="21">
        <f>2616+D88</f>
        <v>216689.5</v>
      </c>
      <c r="E87" s="21">
        <f>2221+E88</f>
        <v>281890.25</v>
      </c>
      <c r="F87" s="78">
        <f>1291+F88</f>
        <v>424390.375</v>
      </c>
      <c r="G87" s="43">
        <f t="shared" si="6"/>
        <v>1083943.625</v>
      </c>
      <c r="H87" s="43">
        <f>1420+H88</f>
        <v>351651</v>
      </c>
      <c r="I87" s="87"/>
    </row>
    <row r="88" spans="1:8" s="9" customFormat="1" ht="24.75" customHeight="1">
      <c r="A88" s="15"/>
      <c r="B88" s="37" t="s">
        <v>75</v>
      </c>
      <c r="C88" s="90">
        <f>(9/8*138892)+3000</f>
        <v>159253.5</v>
      </c>
      <c r="D88" s="91">
        <f>(9/8*158732)+35500</f>
        <v>214073.5</v>
      </c>
      <c r="E88" s="91">
        <f>(9/8*287706)-44000</f>
        <v>279669.25</v>
      </c>
      <c r="F88" s="92">
        <f>(9/8*406755)-34500</f>
        <v>423099.375</v>
      </c>
      <c r="G88" s="89">
        <f t="shared" si="6"/>
        <v>1076095.625</v>
      </c>
      <c r="H88" s="89">
        <v>350231</v>
      </c>
    </row>
    <row r="89" spans="1:8" s="5" customFormat="1" ht="24.75" customHeight="1">
      <c r="A89" s="14"/>
      <c r="B89" s="35" t="s">
        <v>49</v>
      </c>
      <c r="C89" s="77">
        <f>C90+C95</f>
        <v>-44723</v>
      </c>
      <c r="D89" s="26">
        <f>D90+D95</f>
        <v>-48377.5</v>
      </c>
      <c r="E89" s="26">
        <f>E90+E95</f>
        <v>-87910.375</v>
      </c>
      <c r="F89" s="82">
        <f>F90+F95</f>
        <v>-127575.375</v>
      </c>
      <c r="G89" s="46">
        <f t="shared" si="6"/>
        <v>-308586.25</v>
      </c>
      <c r="H89" s="46">
        <f>H90+H95</f>
        <v>-89884</v>
      </c>
    </row>
    <row r="90" spans="1:8" s="5" customFormat="1" ht="24.75" customHeight="1">
      <c r="A90" s="14"/>
      <c r="B90" s="35" t="s">
        <v>50</v>
      </c>
      <c r="C90" s="77">
        <f>C91+C93</f>
        <v>-76266.375</v>
      </c>
      <c r="D90" s="26">
        <f>D91+D93</f>
        <v>-93957.25</v>
      </c>
      <c r="E90" s="26">
        <f>E91+E93</f>
        <v>-168661.75</v>
      </c>
      <c r="F90" s="82">
        <f>F91+F93</f>
        <v>-237659.375</v>
      </c>
      <c r="G90" s="46">
        <f t="shared" si="6"/>
        <v>-576544.75</v>
      </c>
      <c r="H90" s="46">
        <f>H91+H93</f>
        <v>-179516</v>
      </c>
    </row>
    <row r="91" spans="1:9" s="5" customFormat="1" ht="24.75" customHeight="1">
      <c r="A91" s="14"/>
      <c r="B91" s="36" t="s">
        <v>51</v>
      </c>
      <c r="C91" s="74">
        <f>4863+C92</f>
        <v>-73257</v>
      </c>
      <c r="D91" s="67">
        <f>-1237+D92</f>
        <v>-90517</v>
      </c>
      <c r="E91" s="67">
        <f>-607+E92</f>
        <v>-162427</v>
      </c>
      <c r="F91" s="79">
        <f>-65+F92</f>
        <v>-228845</v>
      </c>
      <c r="G91" s="88">
        <f t="shared" si="6"/>
        <v>-555046</v>
      </c>
      <c r="H91" s="88">
        <f>-1228+H92</f>
        <v>-172828</v>
      </c>
      <c r="I91" s="87"/>
    </row>
    <row r="92" spans="1:8" s="9" customFormat="1" ht="24.75" customHeight="1">
      <c r="A92" s="15"/>
      <c r="B92" s="37" t="s">
        <v>75</v>
      </c>
      <c r="C92" s="84">
        <f>9/8*-69440</f>
        <v>-78120</v>
      </c>
      <c r="D92" s="31">
        <f>9/8*-79360</f>
        <v>-89280</v>
      </c>
      <c r="E92" s="31">
        <f>9/8*-143840</f>
        <v>-161820</v>
      </c>
      <c r="F92" s="86">
        <f>9/8*-203360</f>
        <v>-228780</v>
      </c>
      <c r="G92" s="66">
        <f t="shared" si="6"/>
        <v>-558000</v>
      </c>
      <c r="H92" s="66">
        <v>-171600</v>
      </c>
    </row>
    <row r="93" spans="1:8" s="5" customFormat="1" ht="24.75" customHeight="1">
      <c r="A93" s="14"/>
      <c r="B93" s="36" t="s">
        <v>52</v>
      </c>
      <c r="C93" s="74">
        <f>0+C94</f>
        <v>-3009.375</v>
      </c>
      <c r="D93" s="67">
        <f>0+D94</f>
        <v>-3440.25</v>
      </c>
      <c r="E93" s="67">
        <f>0+E94</f>
        <v>-6234.75</v>
      </c>
      <c r="F93" s="79">
        <f>0+F94</f>
        <v>-8814.375</v>
      </c>
      <c r="G93" s="88">
        <f t="shared" si="6"/>
        <v>-21498.75</v>
      </c>
      <c r="H93" s="88">
        <f>H94</f>
        <v>-6688</v>
      </c>
    </row>
    <row r="94" spans="1:8" s="9" customFormat="1" ht="24.75" customHeight="1">
      <c r="A94" s="15"/>
      <c r="B94" s="37" t="s">
        <v>75</v>
      </c>
      <c r="C94" s="84">
        <f>9/8*-2675</f>
        <v>-3009.375</v>
      </c>
      <c r="D94" s="31">
        <f>9/8*-3058</f>
        <v>-3440.25</v>
      </c>
      <c r="E94" s="31">
        <f>9/8*-5542</f>
        <v>-6234.75</v>
      </c>
      <c r="F94" s="86">
        <f>9/8*-7835</f>
        <v>-8814.375</v>
      </c>
      <c r="G94" s="66">
        <f t="shared" si="6"/>
        <v>-21498.75</v>
      </c>
      <c r="H94" s="66">
        <v>-6688</v>
      </c>
    </row>
    <row r="95" spans="1:8" s="5" customFormat="1" ht="24.75" customHeight="1">
      <c r="A95" s="14"/>
      <c r="B95" s="35" t="s">
        <v>53</v>
      </c>
      <c r="C95" s="77">
        <f>C96+C98</f>
        <v>31543.375</v>
      </c>
      <c r="D95" s="26">
        <f>D96+D98</f>
        <v>45579.75</v>
      </c>
      <c r="E95" s="26">
        <f>E96+E98</f>
        <v>80751.375</v>
      </c>
      <c r="F95" s="82">
        <f>F96+F98</f>
        <v>110084</v>
      </c>
      <c r="G95" s="46">
        <f t="shared" si="6"/>
        <v>267958.5</v>
      </c>
      <c r="H95" s="46">
        <f>H96+H98</f>
        <v>89632</v>
      </c>
    </row>
    <row r="96" spans="1:8" s="5" customFormat="1" ht="24.75" customHeight="1">
      <c r="A96" s="14"/>
      <c r="B96" s="36" t="s">
        <v>51</v>
      </c>
      <c r="C96" s="74">
        <f>-6089+C97</f>
        <v>31794.25</v>
      </c>
      <c r="D96" s="67">
        <f>2619+D97</f>
        <v>45912.375</v>
      </c>
      <c r="E96" s="67">
        <f>2685+E97</f>
        <v>81157.125</v>
      </c>
      <c r="F96" s="79">
        <f>-353+F97</f>
        <v>110590</v>
      </c>
      <c r="G96" s="88">
        <f t="shared" si="6"/>
        <v>269453.75</v>
      </c>
      <c r="H96" s="88">
        <f>621+H97</f>
        <v>89806</v>
      </c>
    </row>
    <row r="97" spans="1:8" s="9" customFormat="1" ht="24.75" customHeight="1">
      <c r="A97" s="15"/>
      <c r="B97" s="37" t="s">
        <v>75</v>
      </c>
      <c r="C97" s="84">
        <f>9/8*33674</f>
        <v>37883.25</v>
      </c>
      <c r="D97" s="31">
        <f>9/8*38483</f>
        <v>43293.375</v>
      </c>
      <c r="E97" s="31">
        <f>9/8*69753</f>
        <v>78472.125</v>
      </c>
      <c r="F97" s="86">
        <f>9/8*98616</f>
        <v>110943</v>
      </c>
      <c r="G97" s="66">
        <f t="shared" si="6"/>
        <v>270591.75</v>
      </c>
      <c r="H97" s="66">
        <v>89185</v>
      </c>
    </row>
    <row r="98" spans="1:8" s="5" customFormat="1" ht="24.75" customHeight="1">
      <c r="A98" s="14"/>
      <c r="B98" s="36" t="s">
        <v>52</v>
      </c>
      <c r="C98" s="74">
        <f>-18+C99</f>
        <v>-250.875</v>
      </c>
      <c r="D98" s="67">
        <f>-66+D99</f>
        <v>-332.625</v>
      </c>
      <c r="E98" s="67">
        <f>78+E99</f>
        <v>-405.75</v>
      </c>
      <c r="F98" s="79">
        <f>178+F99</f>
        <v>-506</v>
      </c>
      <c r="G98" s="88">
        <f t="shared" si="6"/>
        <v>-1495.25</v>
      </c>
      <c r="H98" s="88">
        <f>344+H99</f>
        <v>-174</v>
      </c>
    </row>
    <row r="99" spans="1:8" s="9" customFormat="1" ht="24.75" customHeight="1">
      <c r="A99" s="15"/>
      <c r="B99" s="37" t="s">
        <v>75</v>
      </c>
      <c r="C99" s="84">
        <f>9/8*-207</f>
        <v>-232.875</v>
      </c>
      <c r="D99" s="31">
        <f>9/8*-237</f>
        <v>-266.625</v>
      </c>
      <c r="E99" s="31">
        <f>9/8*-430</f>
        <v>-483.75</v>
      </c>
      <c r="F99" s="86">
        <f>9/8*-608</f>
        <v>-684</v>
      </c>
      <c r="G99" s="66">
        <f t="shared" si="6"/>
        <v>-1667.25</v>
      </c>
      <c r="H99" s="66">
        <v>-518</v>
      </c>
    </row>
    <row r="100" spans="1:10" s="5" customFormat="1" ht="24.75" customHeight="1">
      <c r="A100" s="14"/>
      <c r="B100" s="35" t="s">
        <v>54</v>
      </c>
      <c r="C100" s="77">
        <f>C101+C108</f>
        <v>-13275.125</v>
      </c>
      <c r="D100" s="26">
        <f>D101+D108</f>
        <v>-46313.72</v>
      </c>
      <c r="E100" s="26">
        <f>E101+E108</f>
        <v>24262.5</v>
      </c>
      <c r="F100" s="82">
        <f>F101+F108</f>
        <v>-307</v>
      </c>
      <c r="G100" s="46">
        <f t="shared" si="6"/>
        <v>-35633.345</v>
      </c>
      <c r="H100" s="46">
        <f>H101+H108</f>
        <v>-47213</v>
      </c>
      <c r="J100" s="87"/>
    </row>
    <row r="101" spans="1:8" s="5" customFormat="1" ht="24.75" customHeight="1">
      <c r="A101" s="14"/>
      <c r="B101" s="35" t="s">
        <v>55</v>
      </c>
      <c r="C101" s="77">
        <f>C102+C103+C104+C105+C107</f>
        <v>-38422</v>
      </c>
      <c r="D101" s="26">
        <f>D102+D103+D104+D105+D107</f>
        <v>-54084.97</v>
      </c>
      <c r="E101" s="26">
        <f>E102+E103+E104+E105+E107</f>
        <v>-27163.5</v>
      </c>
      <c r="F101" s="82">
        <f>F102+F103+F104+F105+F107</f>
        <v>2733.375</v>
      </c>
      <c r="G101" s="46">
        <f t="shared" si="6"/>
        <v>-116937.095</v>
      </c>
      <c r="H101" s="46">
        <f>H102+H103+H104+H105+H107</f>
        <v>-84334</v>
      </c>
    </row>
    <row r="102" spans="1:8" s="5" customFormat="1" ht="24.75" customHeight="1">
      <c r="A102" s="14"/>
      <c r="B102" s="36" t="s">
        <v>56</v>
      </c>
      <c r="C102" s="72">
        <v>0</v>
      </c>
      <c r="D102" s="20">
        <v>0</v>
      </c>
      <c r="E102" s="20">
        <v>0</v>
      </c>
      <c r="F102" s="62">
        <v>0</v>
      </c>
      <c r="G102" s="42">
        <f t="shared" si="6"/>
        <v>0</v>
      </c>
      <c r="H102" s="42">
        <v>0</v>
      </c>
    </row>
    <row r="103" spans="1:8" s="5" customFormat="1" ht="24.75" customHeight="1">
      <c r="A103" s="14"/>
      <c r="B103" s="36" t="s">
        <v>70</v>
      </c>
      <c r="C103" s="72">
        <v>0</v>
      </c>
      <c r="D103" s="20">
        <v>0</v>
      </c>
      <c r="E103" s="20">
        <v>0</v>
      </c>
      <c r="F103" s="62">
        <v>0</v>
      </c>
      <c r="G103" s="42">
        <f t="shared" si="6"/>
        <v>0</v>
      </c>
      <c r="H103" s="42">
        <v>0</v>
      </c>
    </row>
    <row r="104" spans="1:8" s="5" customFormat="1" ht="24.75" customHeight="1">
      <c r="A104" s="14"/>
      <c r="B104" s="36" t="s">
        <v>57</v>
      </c>
      <c r="C104" s="76">
        <v>-37662</v>
      </c>
      <c r="D104" s="25">
        <v>-52583</v>
      </c>
      <c r="E104" s="25">
        <v>-24381</v>
      </c>
      <c r="F104" s="81">
        <v>6808</v>
      </c>
      <c r="G104" s="48">
        <f t="shared" si="6"/>
        <v>-107818</v>
      </c>
      <c r="H104" s="93">
        <v>-81321</v>
      </c>
    </row>
    <row r="105" spans="1:8" s="5" customFormat="1" ht="24.75" customHeight="1">
      <c r="A105" s="14"/>
      <c r="B105" s="36" t="s">
        <v>58</v>
      </c>
      <c r="C105" s="74">
        <f>0+C106</f>
        <v>-1314</v>
      </c>
      <c r="D105" s="67">
        <f>0+D106</f>
        <v>-1501.875</v>
      </c>
      <c r="E105" s="67">
        <f>0+E106</f>
        <v>-2722.5</v>
      </c>
      <c r="F105" s="79">
        <f>0+F106</f>
        <v>-3848.625</v>
      </c>
      <c r="G105" s="88">
        <f t="shared" si="6"/>
        <v>-9387</v>
      </c>
      <c r="H105" s="88">
        <f>H106</f>
        <v>-2920</v>
      </c>
    </row>
    <row r="106" spans="1:8" s="9" customFormat="1" ht="24.75" customHeight="1">
      <c r="A106" s="15"/>
      <c r="B106" s="37" t="s">
        <v>75</v>
      </c>
      <c r="C106" s="84">
        <f>9/8*-1168</f>
        <v>-1314</v>
      </c>
      <c r="D106" s="31">
        <f>9/8*-1335</f>
        <v>-1501.875</v>
      </c>
      <c r="E106" s="31">
        <f>9/8*-2420</f>
        <v>-2722.5</v>
      </c>
      <c r="F106" s="86">
        <f>9/8*-3421</f>
        <v>-3848.625</v>
      </c>
      <c r="G106" s="66">
        <f t="shared" si="6"/>
        <v>-9387</v>
      </c>
      <c r="H106" s="66">
        <v>-2920</v>
      </c>
    </row>
    <row r="107" spans="1:8" s="5" customFormat="1" ht="24.75" customHeight="1">
      <c r="A107" s="14"/>
      <c r="B107" s="36" t="s">
        <v>59</v>
      </c>
      <c r="C107" s="72">
        <v>554</v>
      </c>
      <c r="D107" s="20">
        <v>-0.095</v>
      </c>
      <c r="E107" s="20">
        <v>-60</v>
      </c>
      <c r="F107" s="62">
        <v>-226</v>
      </c>
      <c r="G107" s="42">
        <f t="shared" si="6"/>
        <v>267.905</v>
      </c>
      <c r="H107" s="42">
        <v>-93</v>
      </c>
    </row>
    <row r="108" spans="1:8" s="5" customFormat="1" ht="24.75" customHeight="1">
      <c r="A108" s="14"/>
      <c r="B108" s="35" t="s">
        <v>53</v>
      </c>
      <c r="C108" s="77">
        <f>C109+C110+C111+C112+C114</f>
        <v>25146.875</v>
      </c>
      <c r="D108" s="26">
        <f>D109+D110+D111+D112+D114</f>
        <v>7771.25</v>
      </c>
      <c r="E108" s="26">
        <f>E109+E110+E111+E112+E114</f>
        <v>51426</v>
      </c>
      <c r="F108" s="82">
        <f>F109+F110+F111+F112+F114</f>
        <v>-3040.375</v>
      </c>
      <c r="G108" s="46">
        <f t="shared" si="6"/>
        <v>81303.75</v>
      </c>
      <c r="H108" s="46">
        <f>H109+H110+H111+H112+H114</f>
        <v>37121</v>
      </c>
    </row>
    <row r="109" spans="1:8" s="5" customFormat="1" ht="24.75" customHeight="1">
      <c r="A109" s="14"/>
      <c r="B109" s="36" t="s">
        <v>56</v>
      </c>
      <c r="C109" s="72">
        <v>3723</v>
      </c>
      <c r="D109" s="20">
        <v>23</v>
      </c>
      <c r="E109" s="20">
        <v>1424</v>
      </c>
      <c r="F109" s="62">
        <v>282</v>
      </c>
      <c r="G109" s="42">
        <f t="shared" si="6"/>
        <v>5452</v>
      </c>
      <c r="H109" s="42">
        <v>76</v>
      </c>
    </row>
    <row r="110" spans="1:8" s="5" customFormat="1" ht="24.75" customHeight="1">
      <c r="A110" s="14"/>
      <c r="B110" s="36" t="s">
        <v>70</v>
      </c>
      <c r="C110" s="72">
        <v>0</v>
      </c>
      <c r="D110" s="20">
        <v>0</v>
      </c>
      <c r="E110" s="20">
        <v>0</v>
      </c>
      <c r="F110" s="62">
        <v>0</v>
      </c>
      <c r="G110" s="42">
        <f t="shared" si="6"/>
        <v>0</v>
      </c>
      <c r="H110" s="42">
        <v>0</v>
      </c>
    </row>
    <row r="111" spans="1:8" s="5" customFormat="1" ht="24.75" customHeight="1">
      <c r="A111" s="14"/>
      <c r="B111" s="36" t="s">
        <v>57</v>
      </c>
      <c r="C111" s="72">
        <v>25441</v>
      </c>
      <c r="D111" s="20">
        <v>11333</v>
      </c>
      <c r="E111" s="20">
        <v>57927</v>
      </c>
      <c r="F111" s="62">
        <v>5206</v>
      </c>
      <c r="G111" s="42">
        <f t="shared" si="6"/>
        <v>99907</v>
      </c>
      <c r="H111" s="42">
        <v>47592</v>
      </c>
    </row>
    <row r="112" spans="1:8" s="5" customFormat="1" ht="24.75" customHeight="1">
      <c r="A112" s="14"/>
      <c r="B112" s="36" t="s">
        <v>58</v>
      </c>
      <c r="C112" s="74">
        <f>88+C113</f>
        <v>-4683.125</v>
      </c>
      <c r="D112" s="67">
        <f>637+D113</f>
        <v>-4814.75</v>
      </c>
      <c r="E112" s="67">
        <f>-217+E113</f>
        <v>-10099</v>
      </c>
      <c r="F112" s="79">
        <f>2999+F113</f>
        <v>-10972.375</v>
      </c>
      <c r="G112" s="88">
        <f t="shared" si="6"/>
        <v>-30569.25</v>
      </c>
      <c r="H112" s="88">
        <f>-986+H113</f>
        <v>-11586</v>
      </c>
    </row>
    <row r="113" spans="1:8" s="9" customFormat="1" ht="24.75" customHeight="1">
      <c r="A113" s="15"/>
      <c r="B113" s="37" t="s">
        <v>75</v>
      </c>
      <c r="C113" s="84">
        <f>9/8*-4241</f>
        <v>-4771.125</v>
      </c>
      <c r="D113" s="31">
        <f>9/8*-4846</f>
        <v>-5451.75</v>
      </c>
      <c r="E113" s="31">
        <f>9/8*-8784</f>
        <v>-9882</v>
      </c>
      <c r="F113" s="86">
        <f>9/8*-12419</f>
        <v>-13971.375</v>
      </c>
      <c r="G113" s="66">
        <f t="shared" si="6"/>
        <v>-34076.25</v>
      </c>
      <c r="H113" s="66">
        <v>-10600</v>
      </c>
    </row>
    <row r="114" spans="1:8" s="5" customFormat="1" ht="24.75" customHeight="1">
      <c r="A114" s="14"/>
      <c r="B114" s="36" t="s">
        <v>59</v>
      </c>
      <c r="C114" s="72">
        <v>666</v>
      </c>
      <c r="D114" s="20">
        <v>1230</v>
      </c>
      <c r="E114" s="20">
        <v>2174</v>
      </c>
      <c r="F114" s="62">
        <v>2444</v>
      </c>
      <c r="G114" s="42">
        <f t="shared" si="6"/>
        <v>6514</v>
      </c>
      <c r="H114" s="42">
        <v>1039</v>
      </c>
    </row>
    <row r="115" spans="1:8" s="5" customFormat="1" ht="24.75" customHeight="1">
      <c r="A115" s="14"/>
      <c r="B115" s="35" t="s">
        <v>60</v>
      </c>
      <c r="C115" s="77">
        <f>C116+C117+C118+C119+C120</f>
        <v>-1796.85</v>
      </c>
      <c r="D115" s="26">
        <f>D116+D117+D118+D119+D120</f>
        <v>-2114</v>
      </c>
      <c r="E115" s="26">
        <f>E116+E117+E118+E119+E120</f>
        <v>224</v>
      </c>
      <c r="F115" s="82">
        <f>F116+F117+F118+F119+F120</f>
        <v>-1560</v>
      </c>
      <c r="G115" s="46">
        <f t="shared" si="6"/>
        <v>-5246.85</v>
      </c>
      <c r="H115" s="46">
        <f>H116+H117+H118+H119+H120</f>
        <v>1614</v>
      </c>
    </row>
    <row r="116" spans="1:8" s="5" customFormat="1" ht="24.75" customHeight="1">
      <c r="A116" s="14"/>
      <c r="B116" s="36" t="s">
        <v>61</v>
      </c>
      <c r="C116" s="72">
        <v>0</v>
      </c>
      <c r="D116" s="20">
        <v>0</v>
      </c>
      <c r="E116" s="20">
        <v>0</v>
      </c>
      <c r="F116" s="62">
        <v>0</v>
      </c>
      <c r="G116" s="42">
        <f t="shared" si="6"/>
        <v>0</v>
      </c>
      <c r="H116" s="42">
        <v>0</v>
      </c>
    </row>
    <row r="117" spans="1:8" s="5" customFormat="1" ht="24.75" customHeight="1">
      <c r="A117" s="14"/>
      <c r="B117" s="36" t="s">
        <v>62</v>
      </c>
      <c r="C117" s="72">
        <v>-0.85</v>
      </c>
      <c r="D117" s="20">
        <v>312</v>
      </c>
      <c r="E117" s="20">
        <v>-3</v>
      </c>
      <c r="F117" s="62">
        <v>49</v>
      </c>
      <c r="G117" s="42">
        <f t="shared" si="6"/>
        <v>357.15</v>
      </c>
      <c r="H117" s="42">
        <v>21</v>
      </c>
    </row>
    <row r="118" spans="1:8" s="5" customFormat="1" ht="24.75" customHeight="1">
      <c r="A118" s="14"/>
      <c r="B118" s="36" t="s">
        <v>63</v>
      </c>
      <c r="C118" s="72">
        <v>-188</v>
      </c>
      <c r="D118" s="20">
        <v>-58</v>
      </c>
      <c r="E118" s="20">
        <v>-120</v>
      </c>
      <c r="F118" s="62">
        <v>-63</v>
      </c>
      <c r="G118" s="42">
        <f t="shared" si="6"/>
        <v>-429</v>
      </c>
      <c r="H118" s="42">
        <v>-40</v>
      </c>
    </row>
    <row r="119" spans="1:8" s="5" customFormat="1" ht="24.75" customHeight="1">
      <c r="A119" s="14"/>
      <c r="B119" s="36" t="s">
        <v>64</v>
      </c>
      <c r="C119" s="72">
        <v>-1608</v>
      </c>
      <c r="D119" s="20">
        <v>-2368</v>
      </c>
      <c r="E119" s="20">
        <v>347</v>
      </c>
      <c r="F119" s="62">
        <v>-1546</v>
      </c>
      <c r="G119" s="42">
        <f t="shared" si="6"/>
        <v>-5175</v>
      </c>
      <c r="H119" s="42">
        <v>1633</v>
      </c>
    </row>
    <row r="120" spans="1:8" s="5" customFormat="1" ht="24.75" customHeight="1">
      <c r="A120" s="14"/>
      <c r="B120" s="36" t="s">
        <v>65</v>
      </c>
      <c r="C120" s="85">
        <v>0</v>
      </c>
      <c r="D120" s="32">
        <v>0</v>
      </c>
      <c r="E120" s="32">
        <v>0</v>
      </c>
      <c r="F120" s="30">
        <v>0</v>
      </c>
      <c r="G120" s="49">
        <f t="shared" si="6"/>
        <v>0</v>
      </c>
      <c r="H120" s="49">
        <v>0</v>
      </c>
    </row>
    <row r="121" spans="1:8" s="5" customFormat="1" ht="24.75" customHeight="1">
      <c r="A121" s="14" t="s">
        <v>66</v>
      </c>
      <c r="B121" s="35" t="s">
        <v>67</v>
      </c>
      <c r="C121" s="77">
        <f aca="true" t="shared" si="8" ref="C121:H121">-(C7+C80)</f>
        <v>1108.6</v>
      </c>
      <c r="D121" s="26">
        <f t="shared" si="8"/>
        <v>1883.8450000000012</v>
      </c>
      <c r="E121" s="26">
        <f t="shared" si="8"/>
        <v>-2745.625</v>
      </c>
      <c r="F121" s="82">
        <f t="shared" si="8"/>
        <v>5462.25</v>
      </c>
      <c r="G121" s="46">
        <f t="shared" si="8"/>
        <v>5709.07</v>
      </c>
      <c r="H121" s="46">
        <f t="shared" si="8"/>
        <v>-1297</v>
      </c>
    </row>
    <row r="122" spans="1:8" s="5" customFormat="1" ht="7.5" customHeight="1" thickBot="1">
      <c r="A122" s="11"/>
      <c r="B122" s="40"/>
      <c r="C122" s="53"/>
      <c r="D122" s="27"/>
      <c r="E122" s="27"/>
      <c r="F122" s="56"/>
      <c r="G122" s="57"/>
      <c r="H122" s="57"/>
    </row>
    <row r="123" spans="1:9" s="3" customFormat="1" ht="72" customHeight="1">
      <c r="A123" s="126" t="s">
        <v>84</v>
      </c>
      <c r="B123" s="126"/>
      <c r="C123" s="126"/>
      <c r="D123" s="126"/>
      <c r="E123" s="126"/>
      <c r="F123" s="126"/>
      <c r="G123" s="126"/>
      <c r="H123" s="126"/>
      <c r="I123" s="125"/>
    </row>
    <row r="124" spans="1:7" s="3" customFormat="1" ht="24">
      <c r="A124" s="60" t="s">
        <v>76</v>
      </c>
      <c r="B124" s="61"/>
      <c r="C124" s="60"/>
      <c r="D124" s="41" t="s">
        <v>74</v>
      </c>
      <c r="G124" s="127"/>
    </row>
    <row r="125" spans="1:9" ht="20.25">
      <c r="A125" s="41" t="s">
        <v>73</v>
      </c>
      <c r="B125" s="3"/>
      <c r="C125" s="3"/>
      <c r="D125" s="3"/>
      <c r="E125" s="3"/>
      <c r="F125" s="3"/>
      <c r="G125" s="3"/>
      <c r="H125" s="3"/>
      <c r="I125" s="3"/>
    </row>
  </sheetData>
  <sheetProtection/>
  <mergeCells count="10">
    <mergeCell ref="A123:H123"/>
    <mergeCell ref="C58:F58"/>
    <mergeCell ref="G4:G5"/>
    <mergeCell ref="G58:G59"/>
    <mergeCell ref="A1:H2"/>
    <mergeCell ref="B4:B5"/>
    <mergeCell ref="A4:A5"/>
    <mergeCell ref="B58:B59"/>
    <mergeCell ref="A58:A59"/>
    <mergeCell ref="C4:F4"/>
  </mergeCells>
  <printOptions/>
  <pageMargins left="0.9448818897637796" right="0.35433070866141736" top="0.7874015748031497" bottom="0.7874015748031497" header="0.5118110236220472" footer="0.5118110236220472"/>
  <pageSetup horizontalDpi="600" verticalDpi="600" orientation="portrait" scale="39" r:id="rId1"/>
  <rowBreaks count="1" manualBreakCount="1">
    <brk id="56" max="7" man="1"/>
  </rowBreaks>
  <ignoredErrors>
    <ignoredError sqref="G12 G15 G19 G20:G21 G25 G28 G31:G32 G36 G39 G42:G43 G49 G61 G67 G73:G74 G77 G80:G81 G83:G84 G89:G90 G95 G100:G101 G108 G1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ahaulkhory</dc:creator>
  <cp:keywords/>
  <dc:description/>
  <cp:lastModifiedBy>Soobhadra Fowdur</cp:lastModifiedBy>
  <cp:lastPrinted>2012-06-13T12:23:03Z</cp:lastPrinted>
  <dcterms:created xsi:type="dcterms:W3CDTF">2009-12-10T04:21:29Z</dcterms:created>
  <dcterms:modified xsi:type="dcterms:W3CDTF">2012-06-13T12:30:59Z</dcterms:modified>
  <cp:category/>
  <cp:version/>
  <cp:contentType/>
  <cp:contentStatus/>
</cp:coreProperties>
</file>