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Rs Million" sheetId="1" r:id="rId1"/>
  </sheets>
  <externalReferences>
    <externalReference r:id="rId4"/>
    <externalReference r:id="rId5"/>
  </externalReferences>
  <definedNames>
    <definedName name="DATABASE">'[2]Table-1'!#REF!</definedName>
    <definedName name="_xlnm.Print_Area" localSheetId="0">'Rs Million'!$A$1:$J$124</definedName>
    <definedName name="Print_Area_MI">#REF!</definedName>
    <definedName name="_xlnm.Print_Titles" localSheetId="0">'Rs Million'!$A:$B</definedName>
  </definedNames>
  <calcPr fullCalcOnLoad="1"/>
</workbook>
</file>

<file path=xl/sharedStrings.xml><?xml version="1.0" encoding="utf-8"?>
<sst xmlns="http://schemas.openxmlformats.org/spreadsheetml/2006/main" count="144" uniqueCount="89">
  <si>
    <t>(Rs million)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</si>
  <si>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</si>
  <si>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</si>
  <si>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</si>
  <si>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</si>
  <si>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</si>
  <si>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</si>
  <si>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</si>
  <si>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</si>
  <si>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</si>
  <si>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</si>
  <si>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</si>
  <si>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</si>
  <si>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</si>
  <si>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</si>
  <si>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</si>
  <si>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</si>
  <si>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</si>
  <si>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</si>
  <si>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</si>
  <si>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</si>
  <si>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</si>
  <si>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</si>
  <si>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</si>
  <si>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</si>
  <si>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</si>
  <si>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</si>
  <si>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</si>
  <si>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</si>
  <si>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</si>
  <si>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</si>
  <si>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Portfolio Investment Income</t>
  </si>
  <si>
    <t xml:space="preserve">      Other Investment Income</t>
  </si>
  <si>
    <t xml:space="preserve">         Monetary Authorities</t>
  </si>
  <si>
    <t xml:space="preserve">         General Government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</si>
  <si>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</si>
  <si>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</si>
  <si>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</si>
  <si>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</si>
  <si>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</si>
  <si>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</si>
  <si>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</si>
  <si>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</si>
  <si>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</si>
  <si>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</si>
  <si>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</si>
  <si>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</si>
  <si>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</si>
  <si>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</si>
  <si>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</si>
  <si>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</si>
  <si>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</si>
  <si>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</si>
  <si>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</si>
  <si>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</si>
  <si>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</si>
  <si>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</si>
  <si>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</si>
  <si>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</si>
  <si>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</si>
  <si>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</si>
  <si>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</si>
  <si>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</si>
  <si>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</si>
  <si>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</si>
  <si>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</si>
  <si>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</si>
  <si>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</si>
  <si>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r>
      <t xml:space="preserve">  Financial Account </t>
    </r>
  </si>
  <si>
    <t>Continued on next page</t>
  </si>
  <si>
    <t xml:space="preserve">       Monetary Authorities</t>
  </si>
  <si>
    <t xml:space="preserve">         Banks</t>
  </si>
  <si>
    <t xml:space="preserve">         Other Sectors</t>
  </si>
  <si>
    <t>Figures may not add up to totals due to rounding.</t>
  </si>
  <si>
    <t>Source : Statistics Division.</t>
  </si>
  <si>
    <t xml:space="preserve">      o/w global business</t>
  </si>
  <si>
    <r>
      <t xml:space="preserve">2011 </t>
    </r>
    <r>
      <rPr>
        <b/>
        <vertAlign val="superscript"/>
        <sz val="18"/>
        <rFont val="Times New Roman"/>
        <family val="1"/>
      </rPr>
      <t>1</t>
    </r>
  </si>
  <si>
    <r>
      <t>1st Quarter</t>
    </r>
    <r>
      <rPr>
        <b/>
        <vertAlign val="superscript"/>
        <sz val="18"/>
        <rFont val="Times New Roman"/>
        <family val="1"/>
      </rPr>
      <t xml:space="preserve"> </t>
    </r>
  </si>
  <si>
    <t xml:space="preserve">2nd Quarter </t>
  </si>
  <si>
    <t xml:space="preserve">3rd 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</si>
  <si>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</si>
  <si>
    <r>
      <t xml:space="preserve">2012 </t>
    </r>
    <r>
      <rPr>
        <b/>
        <vertAlign val="superscript"/>
        <sz val="18"/>
        <rFont val="Times New Roman"/>
        <family val="1"/>
      </rPr>
      <t>2</t>
    </r>
  </si>
  <si>
    <t xml:space="preserve">1st 
Quarter </t>
  </si>
  <si>
    <t xml:space="preserve">2nd 
Quarter </t>
  </si>
  <si>
    <t xml:space="preserve">1st
Quarter </t>
  </si>
  <si>
    <r>
      <t>3rd
Quarter</t>
    </r>
    <r>
      <rPr>
        <b/>
        <vertAlign val="superscript"/>
        <sz val="18"/>
        <rFont val="Times New Roman"/>
        <family val="1"/>
      </rPr>
      <t xml:space="preserve"> </t>
    </r>
  </si>
  <si>
    <t xml:space="preserve">4th Quarter </t>
  </si>
  <si>
    <r>
      <t>1</t>
    </r>
    <r>
      <rPr>
        <i/>
        <sz val="16"/>
        <rFont val="Times New Roman"/>
        <family val="1"/>
      </rPr>
      <t xml:space="preserve"> Revised on account of amended trade data by Statistics Mauritius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Provisional.</t>
    </r>
  </si>
  <si>
    <t>Table 50: Balance of Payments - Calendar Year 2011 and Three Quarters of 2012
(including estimates for GBC1s cross-border transactions)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</si>
</sst>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s.&quot;* #,##0_);_(&quot;Rs.&quot;* \(#,##0\);_(&quot;Rs.&quot;* &quot;-&quot;_);_(@_)"/>
    <numFmt numFmtId="174" formatCode="_(&quot;Rs.&quot;* #,##0.00_);_(&quot;Rs.&quot;* \(#,##0.00\);_(&quot;Rs.&quot;* &quot;-&quot;??_);_(@_)"/>
    <numFmt numFmtId="175" formatCode="#,##0.0_);\(#,##0.0\)"/>
    <numFmt numFmtId="176" formatCode="#,##0.0"/>
    <numFmt numFmtId="177" formatCode="0.000"/>
    <numFmt numFmtId="178" formatCode="#,##0.000_);\(#,##0.000\)"/>
    <numFmt numFmtId="179" formatCode="#.##0"/>
    <numFmt numFmtId="180" formatCode="0.0000"/>
    <numFmt numFmtId="181" formatCode="0.0_);\(0.0\)"/>
    <numFmt numFmtId="182" formatCode="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??_);_(@_)"/>
    <numFmt numFmtId="187" formatCode="0.00000"/>
    <numFmt numFmtId="188" formatCode="#,##0.0000"/>
    <numFmt numFmtId="189" formatCode="m/d"/>
    <numFmt numFmtId="190" formatCode="0.000000"/>
    <numFmt numFmtId="191" formatCode="0.00000000"/>
    <numFmt numFmtId="192" formatCode="0.000000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[$£-809]#,##0.0"/>
    <numFmt numFmtId="200" formatCode="[$£-809]#,##0.00"/>
    <numFmt numFmtId="201" formatCode="mmmm\ d\,\ yyyy"/>
    <numFmt numFmtId="202" formatCode="#,##0.00000"/>
    <numFmt numFmtId="203" formatCode="\(0\)"/>
    <numFmt numFmtId="204" formatCode="0.00000E+00"/>
    <numFmt numFmtId="205" formatCode="\(0.000\)"/>
    <numFmt numFmtId="206" formatCode="0.0\ \ \ \ \ "/>
    <numFmt numFmtId="207" formatCode="#,##0.0\ "/>
    <numFmt numFmtId="208" formatCode="0.0%"/>
    <numFmt numFmtId="209" formatCode="_-* #,##0.0000_-;\-* #,##0.0000_-;_-* &quot;-&quot;??_-;_-@_-"/>
    <numFmt numFmtId="210" formatCode="_-* #,##0.0_-;\-* #,##0.0_-;_-* &quot;-&quot;??_-;_-@_-"/>
    <numFmt numFmtId="211" formatCode="_-* #,##0.0_-;\-* #,##0.0_-;_-* &quot;-&quot;?_-;_-@_-"/>
    <numFmt numFmtId="212" formatCode="_(* #,##0.000_);_(* \(#,##0.000\);_(* &quot;-&quot;???_);_(@_)"/>
    <numFmt numFmtId="213" formatCode="_(* #,##0.000_);_(* \(#,##0.000\);_(* &quot;-&quot;??_);_(@_)"/>
    <numFmt numFmtId="214" formatCode="_-* #,##0.000_-;\-* #,##0.000_-;_-* &quot;-&quot;??_-;_-@_-"/>
    <numFmt numFmtId="215" formatCode="0.000000000"/>
    <numFmt numFmtId="216" formatCode="0.0000000000"/>
    <numFmt numFmtId="217" formatCode="_-* #,##0.00000_-;\-* #,##0.00000_-;_-* &quot;-&quot;??_-;_-@_-"/>
    <numFmt numFmtId="218" formatCode="_-* #,##0.000000_-;\-* #,##0.000000_-;_-* &quot;-&quot;??_-;_-@_-"/>
    <numFmt numFmtId="219" formatCode="[$€-2]\ #,##0.0"/>
    <numFmt numFmtId="220" formatCode="[$-409]dddd\,\ mmmm\ dd\,\ yyyy"/>
    <numFmt numFmtId="221" formatCode="[$-409]mmm\-yy;@"/>
    <numFmt numFmtId="22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9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vertAlign val="superscript"/>
      <sz val="1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0" fontId="26" fillId="24" borderId="10" xfId="57" applyFont="1" applyFill="1" applyBorder="1">
      <alignment/>
      <protection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24" borderId="10" xfId="57" applyFont="1" applyFill="1" applyBorder="1">
      <alignment/>
      <protection/>
    </xf>
    <xf numFmtId="0" fontId="25" fillId="24" borderId="10" xfId="57" applyFont="1" applyFill="1" applyBorder="1">
      <alignment/>
      <protection/>
    </xf>
    <xf numFmtId="0" fontId="29" fillId="0" borderId="0" xfId="0" applyFont="1" applyAlignment="1">
      <alignment/>
    </xf>
    <xf numFmtId="0" fontId="24" fillId="24" borderId="10" xfId="57" applyFont="1" applyFill="1" applyBorder="1">
      <alignment/>
      <protection/>
    </xf>
    <xf numFmtId="0" fontId="26" fillId="24" borderId="11" xfId="57" applyFont="1" applyFill="1" applyBorder="1">
      <alignment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24" borderId="12" xfId="57" applyFont="1" applyFill="1" applyBorder="1">
      <alignment/>
      <protection/>
    </xf>
    <xf numFmtId="0" fontId="24" fillId="24" borderId="12" xfId="57" applyFont="1" applyFill="1" applyBorder="1">
      <alignment/>
      <protection/>
    </xf>
    <xf numFmtId="3" fontId="32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/>
    </xf>
    <xf numFmtId="3" fontId="33" fillId="0" borderId="13" xfId="57" applyNumberFormat="1" applyFont="1" applyFill="1" applyBorder="1" applyAlignment="1">
      <alignment/>
      <protection/>
    </xf>
    <xf numFmtId="3" fontId="33" fillId="0" borderId="13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1" fillId="0" borderId="13" xfId="57" applyNumberFormat="1" applyFont="1" applyFill="1" applyBorder="1" applyAlignment="1">
      <alignment/>
      <protection/>
    </xf>
    <xf numFmtId="3" fontId="32" fillId="0" borderId="13" xfId="0" applyNumberFormat="1" applyFont="1" applyBorder="1" applyAlignment="1">
      <alignment/>
    </xf>
    <xf numFmtId="3" fontId="31" fillId="0" borderId="13" xfId="42" applyNumberFormat="1" applyFont="1" applyBorder="1" applyAlignment="1">
      <alignment/>
    </xf>
    <xf numFmtId="3" fontId="33" fillId="0" borderId="13" xfId="57" applyNumberFormat="1" applyFont="1" applyBorder="1" applyAlignment="1">
      <alignment/>
      <protection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29" fillId="0" borderId="0" xfId="57" applyFont="1" applyAlignment="1">
      <alignment horizontal="right"/>
      <protection/>
    </xf>
    <xf numFmtId="0" fontId="28" fillId="24" borderId="15" xfId="57" applyFont="1" applyFill="1" applyBorder="1" applyAlignment="1">
      <alignment horizontal="center" vertical="top" wrapText="1"/>
      <protection/>
    </xf>
    <xf numFmtId="0" fontId="27" fillId="24" borderId="15" xfId="57" applyFont="1" applyFill="1" applyBorder="1">
      <alignment/>
      <protection/>
    </xf>
    <xf numFmtId="0" fontId="28" fillId="24" borderId="15" xfId="57" applyFont="1" applyFill="1" applyBorder="1">
      <alignment/>
      <protection/>
    </xf>
    <xf numFmtId="0" fontId="29" fillId="24" borderId="15" xfId="57" applyFont="1" applyFill="1" applyBorder="1">
      <alignment/>
      <protection/>
    </xf>
    <xf numFmtId="0" fontId="28" fillId="24" borderId="0" xfId="57" applyFont="1" applyFill="1" applyBorder="1" applyAlignment="1">
      <alignment horizontal="center" vertical="top" wrapText="1"/>
      <protection/>
    </xf>
    <xf numFmtId="0" fontId="27" fillId="24" borderId="16" xfId="57" applyFont="1" applyFill="1" applyBorder="1">
      <alignment/>
      <protection/>
    </xf>
    <xf numFmtId="0" fontId="35" fillId="0" borderId="0" xfId="0" applyFont="1" applyAlignment="1">
      <alignment/>
    </xf>
    <xf numFmtId="3" fontId="31" fillId="0" borderId="17" xfId="0" applyNumberFormat="1" applyFont="1" applyBorder="1" applyAlignment="1">
      <alignment/>
    </xf>
    <xf numFmtId="3" fontId="31" fillId="0" borderId="17" xfId="57" applyNumberFormat="1" applyFont="1" applyFill="1" applyBorder="1" applyAlignment="1">
      <alignment/>
      <protection/>
    </xf>
    <xf numFmtId="3" fontId="32" fillId="0" borderId="17" xfId="0" applyNumberFormat="1" applyFont="1" applyBorder="1" applyAlignment="1">
      <alignment/>
    </xf>
    <xf numFmtId="3" fontId="33" fillId="0" borderId="17" xfId="57" applyNumberFormat="1" applyFont="1" applyFill="1" applyBorder="1" applyAlignment="1">
      <alignment/>
      <protection/>
    </xf>
    <xf numFmtId="3" fontId="33" fillId="0" borderId="17" xfId="57" applyNumberFormat="1" applyFont="1" applyBorder="1" applyAlignment="1">
      <alignment/>
      <protection/>
    </xf>
    <xf numFmtId="3" fontId="31" fillId="0" borderId="17" xfId="42" applyNumberFormat="1" applyFont="1" applyBorder="1" applyAlignment="1">
      <alignment/>
    </xf>
    <xf numFmtId="0" fontId="31" fillId="0" borderId="17" xfId="0" applyFont="1" applyBorder="1" applyAlignment="1">
      <alignment/>
    </xf>
    <xf numFmtId="3" fontId="33" fillId="0" borderId="17" xfId="0" applyNumberFormat="1" applyFont="1" applyBorder="1" applyAlignment="1">
      <alignment/>
    </xf>
    <xf numFmtId="3" fontId="33" fillId="0" borderId="15" xfId="57" applyNumberFormat="1" applyFont="1" applyFill="1" applyBorder="1" applyAlignment="1">
      <alignment/>
      <protection/>
    </xf>
    <xf numFmtId="0" fontId="31" fillId="0" borderId="18" xfId="0" applyFont="1" applyBorder="1" applyAlignment="1">
      <alignment/>
    </xf>
    <xf numFmtId="0" fontId="33" fillId="24" borderId="19" xfId="57" applyFont="1" applyFill="1" applyBorder="1" applyAlignment="1">
      <alignment horizontal="center" vertical="center" wrapText="1"/>
      <protection/>
    </xf>
    <xf numFmtId="3" fontId="33" fillId="0" borderId="0" xfId="57" applyNumberFormat="1" applyFont="1" applyFill="1" applyBorder="1" applyAlignment="1">
      <alignment/>
      <protection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/>
    </xf>
    <xf numFmtId="1" fontId="36" fillId="0" borderId="0" xfId="0" applyNumberFormat="1" applyFont="1" applyAlignment="1">
      <alignment/>
    </xf>
    <xf numFmtId="0" fontId="37" fillId="0" borderId="0" xfId="57" applyFont="1">
      <alignment/>
      <protection/>
    </xf>
    <xf numFmtId="0" fontId="35" fillId="0" borderId="0" xfId="57" applyFont="1">
      <alignment/>
      <protection/>
    </xf>
    <xf numFmtId="3" fontId="31" fillId="0" borderId="0" xfId="0" applyNumberFormat="1" applyFont="1" applyBorder="1" applyAlignment="1">
      <alignment/>
    </xf>
    <xf numFmtId="0" fontId="33" fillId="24" borderId="23" xfId="57" applyFont="1" applyFill="1" applyBorder="1" applyAlignment="1">
      <alignment horizontal="center" vertical="center" wrapText="1"/>
      <protection/>
    </xf>
    <xf numFmtId="0" fontId="33" fillId="24" borderId="24" xfId="57" applyFont="1" applyFill="1" applyBorder="1" applyAlignment="1">
      <alignment horizontal="center" vertical="center" wrapText="1"/>
      <protection/>
    </xf>
    <xf numFmtId="3" fontId="32" fillId="0" borderId="17" xfId="0" applyNumberFormat="1" applyFont="1" applyFill="1" applyBorder="1" applyAlignment="1">
      <alignment/>
    </xf>
    <xf numFmtId="3" fontId="31" fillId="0" borderId="13" xfId="0" applyNumberFormat="1" applyFont="1" applyFill="1" applyBorder="1" applyAlignment="1">
      <alignment/>
    </xf>
    <xf numFmtId="3" fontId="31" fillId="0" borderId="25" xfId="0" applyNumberFormat="1" applyFont="1" applyBorder="1" applyAlignment="1">
      <alignment/>
    </xf>
    <xf numFmtId="3" fontId="33" fillId="0" borderId="10" xfId="57" applyNumberFormat="1" applyFont="1" applyFill="1" applyBorder="1" applyAlignment="1">
      <alignment/>
      <protection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57" applyNumberFormat="1" applyFont="1" applyFill="1" applyBorder="1" applyAlignment="1">
      <alignment/>
      <protection/>
    </xf>
    <xf numFmtId="3" fontId="31" fillId="0" borderId="10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3" fontId="31" fillId="0" borderId="10" xfId="42" applyNumberFormat="1" applyFont="1" applyBorder="1" applyAlignment="1">
      <alignment/>
    </xf>
    <xf numFmtId="3" fontId="33" fillId="0" borderId="10" xfId="57" applyNumberFormat="1" applyFont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3" fontId="31" fillId="0" borderId="0" xfId="42" applyNumberFormat="1" applyFont="1" applyBorder="1" applyAlignment="1">
      <alignment/>
    </xf>
    <xf numFmtId="3" fontId="33" fillId="0" borderId="0" xfId="57" applyNumberFormat="1" applyFont="1" applyBorder="1" applyAlignment="1">
      <alignment/>
      <protection/>
    </xf>
    <xf numFmtId="3" fontId="31" fillId="0" borderId="26" xfId="0" applyNumberFormat="1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3" fontId="32" fillId="0" borderId="17" xfId="57" applyNumberFormat="1" applyFont="1" applyFill="1" applyBorder="1" applyAlignment="1">
      <alignment/>
      <protection/>
    </xf>
    <xf numFmtId="3" fontId="32" fillId="0" borderId="10" xfId="57" applyNumberFormat="1" applyFont="1" applyFill="1" applyBorder="1" applyAlignment="1">
      <alignment/>
      <protection/>
    </xf>
    <xf numFmtId="3" fontId="32" fillId="0" borderId="13" xfId="57" applyNumberFormat="1" applyFont="1" applyFill="1" applyBorder="1" applyAlignment="1">
      <alignment/>
      <protection/>
    </xf>
    <xf numFmtId="3" fontId="32" fillId="0" borderId="0" xfId="57" applyNumberFormat="1" applyFont="1" applyFill="1" applyBorder="1" applyAlignment="1">
      <alignment/>
      <protection/>
    </xf>
    <xf numFmtId="0" fontId="33" fillId="24" borderId="27" xfId="57" applyFont="1" applyFill="1" applyBorder="1" applyAlignment="1">
      <alignment horizontal="center" vertical="center" wrapText="1"/>
      <protection/>
    </xf>
    <xf numFmtId="3" fontId="33" fillId="0" borderId="15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3" fontId="31" fillId="0" borderId="15" xfId="57" applyNumberFormat="1" applyFont="1" applyFill="1" applyBorder="1" applyAlignment="1">
      <alignment/>
      <protection/>
    </xf>
    <xf numFmtId="3" fontId="32" fillId="0" borderId="15" xfId="0" applyNumberFormat="1" applyFont="1" applyBorder="1" applyAlignment="1">
      <alignment/>
    </xf>
    <xf numFmtId="3" fontId="33" fillId="0" borderId="15" xfId="57" applyNumberFormat="1" applyFont="1" applyBorder="1" applyAlignment="1">
      <alignment/>
      <protection/>
    </xf>
    <xf numFmtId="3" fontId="31" fillId="0" borderId="15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0" fontId="31" fillId="0" borderId="16" xfId="0" applyFont="1" applyBorder="1" applyAlignment="1">
      <alignment/>
    </xf>
    <xf numFmtId="0" fontId="33" fillId="24" borderId="28" xfId="57" applyFont="1" applyFill="1" applyBorder="1" applyAlignment="1">
      <alignment horizontal="center" vertical="center" wrapText="1"/>
      <protection/>
    </xf>
    <xf numFmtId="3" fontId="33" fillId="0" borderId="29" xfId="57" applyNumberFormat="1" applyFont="1" applyFill="1" applyBorder="1" applyAlignment="1">
      <alignment/>
      <protection/>
    </xf>
    <xf numFmtId="3" fontId="33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12" xfId="57" applyNumberFormat="1" applyFont="1" applyFill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33" fillId="0" borderId="12" xfId="57" applyNumberFormat="1" applyFont="1" applyBorder="1" applyAlignment="1">
      <alignment/>
      <protection/>
    </xf>
    <xf numFmtId="3" fontId="31" fillId="0" borderId="12" xfId="0" applyNumberFormat="1" applyFont="1" applyFill="1" applyBorder="1" applyAlignment="1">
      <alignment/>
    </xf>
    <xf numFmtId="3" fontId="31" fillId="0" borderId="29" xfId="0" applyNumberFormat="1" applyFont="1" applyBorder="1" applyAlignment="1">
      <alignment/>
    </xf>
    <xf numFmtId="3" fontId="33" fillId="0" borderId="12" xfId="57" applyNumberFormat="1" applyFont="1" applyFill="1" applyBorder="1" applyAlignment="1">
      <alignment/>
      <protection/>
    </xf>
    <xf numFmtId="3" fontId="32" fillId="0" borderId="12" xfId="57" applyNumberFormat="1" applyFont="1" applyFill="1" applyBorder="1" applyAlignment="1">
      <alignment/>
      <protection/>
    </xf>
    <xf numFmtId="0" fontId="31" fillId="0" borderId="12" xfId="0" applyFont="1" applyBorder="1" applyAlignment="1">
      <alignment/>
    </xf>
    <xf numFmtId="0" fontId="33" fillId="24" borderId="30" xfId="57" applyFont="1" applyFill="1" applyBorder="1" applyAlignment="1">
      <alignment horizontal="center" vertical="center" wrapText="1"/>
      <protection/>
    </xf>
    <xf numFmtId="3" fontId="31" fillId="0" borderId="31" xfId="0" applyNumberFormat="1" applyFont="1" applyBorder="1" applyAlignment="1">
      <alignment/>
    </xf>
    <xf numFmtId="3" fontId="31" fillId="0" borderId="31" xfId="57" applyNumberFormat="1" applyFont="1" applyFill="1" applyBorder="1" applyAlignment="1">
      <alignment/>
      <protection/>
    </xf>
    <xf numFmtId="3" fontId="32" fillId="0" borderId="31" xfId="0" applyNumberFormat="1" applyFont="1" applyBorder="1" applyAlignment="1">
      <alignment/>
    </xf>
    <xf numFmtId="3" fontId="32" fillId="0" borderId="31" xfId="0" applyNumberFormat="1" applyFont="1" applyFill="1" applyBorder="1" applyAlignment="1">
      <alignment/>
    </xf>
    <xf numFmtId="3" fontId="31" fillId="0" borderId="31" xfId="0" applyNumberFormat="1" applyFont="1" applyFill="1" applyBorder="1" applyAlignment="1">
      <alignment/>
    </xf>
    <xf numFmtId="0" fontId="31" fillId="0" borderId="32" xfId="0" applyFont="1" applyBorder="1" applyAlignment="1">
      <alignment/>
    </xf>
    <xf numFmtId="3" fontId="31" fillId="0" borderId="33" xfId="0" applyNumberFormat="1" applyFont="1" applyBorder="1" applyAlignment="1">
      <alignment/>
    </xf>
    <xf numFmtId="3" fontId="32" fillId="0" borderId="31" xfId="57" applyNumberFormat="1" applyFont="1" applyFill="1" applyBorder="1" applyAlignment="1">
      <alignment/>
      <protection/>
    </xf>
    <xf numFmtId="0" fontId="31" fillId="0" borderId="31" xfId="0" applyFont="1" applyBorder="1" applyAlignment="1">
      <alignment/>
    </xf>
    <xf numFmtId="3" fontId="33" fillId="0" borderId="31" xfId="57" applyNumberFormat="1" applyFont="1" applyBorder="1" applyAlignment="1">
      <alignment/>
      <protection/>
    </xf>
    <xf numFmtId="3" fontId="33" fillId="0" borderId="31" xfId="57" applyNumberFormat="1" applyFont="1" applyFill="1" applyBorder="1" applyAlignment="1">
      <alignment/>
      <protection/>
    </xf>
    <xf numFmtId="3" fontId="31" fillId="0" borderId="12" xfId="42" applyNumberFormat="1" applyFont="1" applyFill="1" applyBorder="1" applyAlignment="1">
      <alignment/>
    </xf>
    <xf numFmtId="3" fontId="33" fillId="0" borderId="33" xfId="57" applyNumberFormat="1" applyFont="1" applyFill="1" applyBorder="1" applyAlignment="1">
      <alignment/>
      <protection/>
    </xf>
    <xf numFmtId="3" fontId="33" fillId="0" borderId="31" xfId="0" applyNumberFormat="1" applyFont="1" applyBorder="1" applyAlignment="1">
      <alignment/>
    </xf>
    <xf numFmtId="3" fontId="32" fillId="0" borderId="31" xfId="57" applyNumberFormat="1" applyFont="1" applyBorder="1" applyAlignment="1">
      <alignment/>
      <protection/>
    </xf>
    <xf numFmtId="3" fontId="31" fillId="0" borderId="31" xfId="57" applyNumberFormat="1" applyFont="1" applyBorder="1" applyAlignment="1">
      <alignment/>
      <protection/>
    </xf>
    <xf numFmtId="3" fontId="33" fillId="0" borderId="34" xfId="57" applyNumberFormat="1" applyFont="1" applyFill="1" applyBorder="1" applyAlignment="1">
      <alignment/>
      <protection/>
    </xf>
    <xf numFmtId="3" fontId="31" fillId="0" borderId="34" xfId="0" applyNumberFormat="1" applyFont="1" applyBorder="1" applyAlignment="1">
      <alignment/>
    </xf>
    <xf numFmtId="3" fontId="32" fillId="0" borderId="15" xfId="57" applyNumberFormat="1" applyFont="1" applyFill="1" applyBorder="1" applyAlignment="1">
      <alignment/>
      <protection/>
    </xf>
    <xf numFmtId="3" fontId="31" fillId="0" borderId="15" xfId="42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3" fontId="31" fillId="0" borderId="31" xfId="42" applyNumberFormat="1" applyFont="1" applyFill="1" applyBorder="1" applyAlignment="1">
      <alignment/>
    </xf>
    <xf numFmtId="176" fontId="32" fillId="0" borderId="0" xfId="0" applyNumberFormat="1" applyFont="1" applyBorder="1" applyAlignment="1">
      <alignment horizontal="right"/>
    </xf>
    <xf numFmtId="0" fontId="24" fillId="24" borderId="11" xfId="57" applyFont="1" applyFill="1" applyBorder="1">
      <alignment/>
      <protection/>
    </xf>
    <xf numFmtId="0" fontId="29" fillId="24" borderId="16" xfId="57" applyFont="1" applyFill="1" applyBorder="1">
      <alignment/>
      <protection/>
    </xf>
    <xf numFmtId="3" fontId="32" fillId="0" borderId="11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32" fillId="0" borderId="18" xfId="0" applyNumberFormat="1" applyFont="1" applyFill="1" applyBorder="1" applyAlignment="1">
      <alignment/>
    </xf>
    <xf numFmtId="3" fontId="32" fillId="0" borderId="32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31" fillId="0" borderId="31" xfId="42" applyNumberFormat="1" applyFont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1" fillId="0" borderId="10" xfId="42" applyNumberFormat="1" applyFont="1" applyFill="1" applyBorder="1" applyAlignment="1">
      <alignment/>
    </xf>
    <xf numFmtId="3" fontId="31" fillId="0" borderId="13" xfId="42" applyNumberFormat="1" applyFont="1" applyFill="1" applyBorder="1" applyAlignment="1">
      <alignment/>
    </xf>
    <xf numFmtId="3" fontId="31" fillId="0" borderId="17" xfId="42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33" fillId="24" borderId="35" xfId="57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3" fillId="24" borderId="38" xfId="57" applyFont="1" applyFill="1" applyBorder="1" applyAlignment="1">
      <alignment horizontal="center" vertical="center" wrapText="1"/>
      <protection/>
    </xf>
    <xf numFmtId="0" fontId="33" fillId="24" borderId="39" xfId="57" applyFont="1" applyFill="1" applyBorder="1" applyAlignment="1">
      <alignment horizontal="center" vertical="center" wrapText="1"/>
      <protection/>
    </xf>
    <xf numFmtId="0" fontId="38" fillId="0" borderId="0" xfId="57" applyFont="1" applyAlignment="1">
      <alignment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8" fillId="24" borderId="40" xfId="57" applyFont="1" applyFill="1" applyBorder="1" applyAlignment="1">
      <alignment horizontal="center" vertical="top" wrapText="1"/>
      <protection/>
    </xf>
    <xf numFmtId="0" fontId="28" fillId="24" borderId="41" xfId="57" applyFont="1" applyFill="1" applyBorder="1" applyAlignment="1">
      <alignment horizontal="center" vertical="top" wrapText="1"/>
      <protection/>
    </xf>
    <xf numFmtId="0" fontId="26" fillId="24" borderId="42" xfId="57" applyFont="1" applyFill="1" applyBorder="1" applyAlignment="1">
      <alignment horizontal="center"/>
      <protection/>
    </xf>
    <xf numFmtId="0" fontId="26" fillId="24" borderId="43" xfId="57" applyFont="1" applyFill="1" applyBorder="1" applyAlignment="1">
      <alignment horizontal="center"/>
      <protection/>
    </xf>
    <xf numFmtId="0" fontId="27" fillId="24" borderId="40" xfId="57" applyFont="1" applyFill="1" applyBorder="1" applyAlignment="1">
      <alignment horizontal="center"/>
      <protection/>
    </xf>
    <xf numFmtId="0" fontId="27" fillId="24" borderId="41" xfId="57" applyFont="1" applyFill="1" applyBorder="1" applyAlignment="1">
      <alignment horizontal="center"/>
      <protection/>
    </xf>
    <xf numFmtId="0" fontId="26" fillId="24" borderId="44" xfId="57" applyFont="1" applyFill="1" applyBorder="1" applyAlignment="1">
      <alignment horizontal="center"/>
      <protection/>
    </xf>
    <xf numFmtId="0" fontId="26" fillId="24" borderId="28" xfId="57" applyFont="1" applyFill="1" applyBorder="1" applyAlignment="1">
      <alignment horizontal="center"/>
      <protection/>
    </xf>
    <xf numFmtId="0" fontId="33" fillId="24" borderId="35" xfId="57" applyFont="1" applyFill="1" applyBorder="1" applyAlignment="1">
      <alignment horizontal="center" vertical="top"/>
      <protection/>
    </xf>
    <xf numFmtId="0" fontId="33" fillId="24" borderId="36" xfId="57" applyFont="1" applyFill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rterly BOP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OVFINAN\ANNREPT\1999\tabII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II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3" sqref="R13"/>
    </sheetView>
  </sheetViews>
  <sheetFormatPr defaultColWidth="9.140625" defaultRowHeight="12.75"/>
  <cols>
    <col min="1" max="1" width="4.8515625" style="13" customWidth="1"/>
    <col min="2" max="2" width="58.28125" style="5" customWidth="1"/>
    <col min="3" max="4" width="16.421875" style="27" customWidth="1"/>
    <col min="5" max="10" width="17.8515625" style="27" customWidth="1"/>
    <col min="11" max="11" width="9.140625" style="1" customWidth="1"/>
    <col min="12" max="12" width="10.421875" style="1" bestFit="1" customWidth="1"/>
    <col min="13" max="16384" width="9.140625" style="1" customWidth="1"/>
  </cols>
  <sheetData>
    <row r="1" spans="1:10" ht="45" customHeight="1">
      <c r="A1" s="155" t="s">
        <v>88</v>
      </c>
      <c r="B1" s="156"/>
      <c r="C1" s="156"/>
      <c r="D1" s="156"/>
      <c r="E1" s="156"/>
      <c r="F1" s="156"/>
      <c r="G1" s="157"/>
      <c r="H1" s="157"/>
      <c r="I1" s="158"/>
      <c r="J1" s="158"/>
    </row>
    <row r="2" spans="1:10" ht="48" customHeight="1">
      <c r="A2" s="156"/>
      <c r="B2" s="156"/>
      <c r="C2" s="156"/>
      <c r="D2" s="156"/>
      <c r="E2" s="156"/>
      <c r="F2" s="156"/>
      <c r="G2" s="157"/>
      <c r="H2" s="157"/>
      <c r="I2" s="158"/>
      <c r="J2" s="158"/>
    </row>
    <row r="3" spans="1:10" ht="51" customHeight="1" thickBot="1">
      <c r="A3" s="2"/>
      <c r="B3" s="31"/>
      <c r="C3" s="16"/>
      <c r="D3" s="17"/>
      <c r="E3" s="17"/>
      <c r="F3" s="130"/>
      <c r="G3" s="130"/>
      <c r="H3" s="130"/>
      <c r="I3" s="17"/>
      <c r="J3" s="17" t="s">
        <v>0</v>
      </c>
    </row>
    <row r="4" spans="1:10" s="3" customFormat="1" ht="34.5" customHeight="1">
      <c r="A4" s="161"/>
      <c r="B4" s="159"/>
      <c r="C4" s="167" t="s">
        <v>76</v>
      </c>
      <c r="D4" s="168"/>
      <c r="E4" s="168"/>
      <c r="F4" s="168"/>
      <c r="G4" s="153" t="s">
        <v>76</v>
      </c>
      <c r="H4" s="150" t="s">
        <v>81</v>
      </c>
      <c r="I4" s="151"/>
      <c r="J4" s="152"/>
    </row>
    <row r="5" spans="1:10" s="3" customFormat="1" ht="79.5" customHeight="1">
      <c r="A5" s="162"/>
      <c r="B5" s="160"/>
      <c r="C5" s="85" t="s">
        <v>77</v>
      </c>
      <c r="D5" s="59" t="s">
        <v>78</v>
      </c>
      <c r="E5" s="59" t="s">
        <v>79</v>
      </c>
      <c r="F5" s="49" t="s">
        <v>86</v>
      </c>
      <c r="G5" s="154"/>
      <c r="H5" s="94" t="s">
        <v>84</v>
      </c>
      <c r="I5" s="49" t="s">
        <v>80</v>
      </c>
      <c r="J5" s="107" t="s">
        <v>85</v>
      </c>
    </row>
    <row r="6" spans="1:10" s="5" customFormat="1" ht="13.5" customHeight="1">
      <c r="A6" s="4"/>
      <c r="B6" s="32"/>
      <c r="C6" s="63"/>
      <c r="D6" s="18"/>
      <c r="E6" s="18"/>
      <c r="F6" s="47"/>
      <c r="G6" s="42"/>
      <c r="H6" s="95"/>
      <c r="I6" s="124"/>
      <c r="J6" s="120"/>
    </row>
    <row r="7" spans="1:10" s="6" customFormat="1" ht="27.75" customHeight="1">
      <c r="A7" s="4" t="s">
        <v>1</v>
      </c>
      <c r="B7" s="33" t="s">
        <v>2</v>
      </c>
      <c r="C7" s="64">
        <f aca="true" t="shared" si="0" ref="C7:J7">C8+C42+C72</f>
        <v>-4935.375</v>
      </c>
      <c r="D7" s="19">
        <f t="shared" si="0"/>
        <v>-10367.5</v>
      </c>
      <c r="E7" s="19">
        <f t="shared" si="0"/>
        <v>-13434.75</v>
      </c>
      <c r="F7" s="86">
        <f t="shared" si="0"/>
        <v>-14136</v>
      </c>
      <c r="G7" s="46">
        <f t="shared" si="0"/>
        <v>-42873.625</v>
      </c>
      <c r="H7" s="96">
        <f t="shared" si="0"/>
        <v>-4142</v>
      </c>
      <c r="I7" s="86">
        <f t="shared" si="0"/>
        <v>-8542.919999999998</v>
      </c>
      <c r="J7" s="121">
        <f t="shared" si="0"/>
        <v>-10883.370930207573</v>
      </c>
    </row>
    <row r="8" spans="1:10" s="6" customFormat="1" ht="27.75" customHeight="1">
      <c r="A8" s="4" t="s">
        <v>3</v>
      </c>
      <c r="B8" s="33" t="s">
        <v>4</v>
      </c>
      <c r="C8" s="64">
        <f aca="true" t="shared" si="1" ref="C8:I8">C9+C19</f>
        <v>-7706</v>
      </c>
      <c r="D8" s="19">
        <f t="shared" si="1"/>
        <v>-11180</v>
      </c>
      <c r="E8" s="19">
        <f t="shared" si="1"/>
        <v>-12920</v>
      </c>
      <c r="F8" s="86">
        <f t="shared" si="1"/>
        <v>-12910</v>
      </c>
      <c r="G8" s="46">
        <f>G9+G19</f>
        <v>-44716</v>
      </c>
      <c r="H8" s="96">
        <f t="shared" si="1"/>
        <v>-7562</v>
      </c>
      <c r="I8" s="86">
        <f t="shared" si="1"/>
        <v>-10643</v>
      </c>
      <c r="J8" s="121">
        <f>J9+J19</f>
        <v>-12674.370930207573</v>
      </c>
    </row>
    <row r="9" spans="1:10" s="6" customFormat="1" ht="27.75" customHeight="1">
      <c r="A9" s="4"/>
      <c r="B9" s="33" t="s">
        <v>5</v>
      </c>
      <c r="C9" s="64">
        <f aca="true" t="shared" si="2" ref="C9:H9">C10+C11</f>
        <v>-15953</v>
      </c>
      <c r="D9" s="19">
        <f t="shared" si="2"/>
        <v>-15401</v>
      </c>
      <c r="E9" s="19">
        <f t="shared" si="2"/>
        <v>-15688</v>
      </c>
      <c r="F9" s="86">
        <f t="shared" si="2"/>
        <v>-20543</v>
      </c>
      <c r="G9" s="46">
        <f t="shared" si="2"/>
        <v>-67585</v>
      </c>
      <c r="H9" s="96">
        <f t="shared" si="2"/>
        <v>-17194</v>
      </c>
      <c r="I9" s="86">
        <f>I10+I11</f>
        <v>-18095</v>
      </c>
      <c r="J9" s="121">
        <f>J10+J11</f>
        <v>-17157</v>
      </c>
    </row>
    <row r="10" spans="1:10" s="5" customFormat="1" ht="27.75" customHeight="1">
      <c r="A10" s="4"/>
      <c r="B10" s="34" t="s">
        <v>6</v>
      </c>
      <c r="C10" s="102">
        <f aca="true" t="shared" si="3" ref="C10:F11">C13+C16</f>
        <v>16986</v>
      </c>
      <c r="D10" s="61">
        <f t="shared" si="3"/>
        <v>17709</v>
      </c>
      <c r="E10" s="72">
        <f t="shared" si="3"/>
        <v>19268</v>
      </c>
      <c r="F10" s="112">
        <f t="shared" si="3"/>
        <v>19623</v>
      </c>
      <c r="G10" s="80">
        <f>C10+D10+E10+F10</f>
        <v>73586</v>
      </c>
      <c r="H10" s="102">
        <f aca="true" t="shared" si="4" ref="H10:J11">H13+H16</f>
        <v>18402</v>
      </c>
      <c r="I10" s="91">
        <f t="shared" si="4"/>
        <v>20434</v>
      </c>
      <c r="J10" s="108">
        <f t="shared" si="4"/>
        <v>19751</v>
      </c>
    </row>
    <row r="11" spans="1:10" s="5" customFormat="1" ht="27.75" customHeight="1">
      <c r="A11" s="4"/>
      <c r="B11" s="34" t="s">
        <v>7</v>
      </c>
      <c r="C11" s="98">
        <f>C14+C17</f>
        <v>-32939</v>
      </c>
      <c r="D11" s="21">
        <f t="shared" si="3"/>
        <v>-33110</v>
      </c>
      <c r="E11" s="71">
        <f t="shared" si="3"/>
        <v>-34956</v>
      </c>
      <c r="F11" s="109">
        <f t="shared" si="3"/>
        <v>-40166</v>
      </c>
      <c r="G11" s="40">
        <f aca="true" t="shared" si="5" ref="G11:G54">C11+D11+E11+F11</f>
        <v>-141171</v>
      </c>
      <c r="H11" s="98">
        <f t="shared" si="4"/>
        <v>-35596</v>
      </c>
      <c r="I11" s="88">
        <f t="shared" si="4"/>
        <v>-38529</v>
      </c>
      <c r="J11" s="109">
        <f t="shared" si="4"/>
        <v>-36908</v>
      </c>
    </row>
    <row r="12" spans="1:10" s="5" customFormat="1" ht="27.75" customHeight="1">
      <c r="A12" s="4"/>
      <c r="B12" s="34" t="s">
        <v>8</v>
      </c>
      <c r="C12" s="67">
        <f aca="true" t="shared" si="6" ref="C12:J12">C13+C14</f>
        <v>-17479</v>
      </c>
      <c r="D12" s="61">
        <f t="shared" si="6"/>
        <v>-17019</v>
      </c>
      <c r="E12" s="61">
        <f t="shared" si="6"/>
        <v>-17965</v>
      </c>
      <c r="F12" s="112">
        <f t="shared" si="6"/>
        <v>-22957</v>
      </c>
      <c r="G12" s="80">
        <f t="shared" si="6"/>
        <v>-75420</v>
      </c>
      <c r="H12" s="102">
        <f t="shared" si="6"/>
        <v>-18725</v>
      </c>
      <c r="I12" s="91">
        <f t="shared" si="6"/>
        <v>-20672</v>
      </c>
      <c r="J12" s="108">
        <f t="shared" si="6"/>
        <v>-18882</v>
      </c>
    </row>
    <row r="13" spans="1:10" s="5" customFormat="1" ht="27.75" customHeight="1">
      <c r="A13" s="4"/>
      <c r="B13" s="34" t="s">
        <v>9</v>
      </c>
      <c r="C13" s="67">
        <v>14662</v>
      </c>
      <c r="D13" s="61">
        <v>15356</v>
      </c>
      <c r="E13" s="61">
        <v>16084</v>
      </c>
      <c r="F13" s="91">
        <v>16256</v>
      </c>
      <c r="G13" s="80">
        <f>C13+D13+E13+F13</f>
        <v>62358</v>
      </c>
      <c r="H13" s="102">
        <v>15690</v>
      </c>
      <c r="I13" s="91">
        <v>16928</v>
      </c>
      <c r="J13" s="112">
        <v>17264</v>
      </c>
    </row>
    <row r="14" spans="1:10" s="5" customFormat="1" ht="27.75" customHeight="1">
      <c r="A14" s="4"/>
      <c r="B14" s="34" t="s">
        <v>10</v>
      </c>
      <c r="C14" s="67">
        <v>-32141</v>
      </c>
      <c r="D14" s="61">
        <v>-32375</v>
      </c>
      <c r="E14" s="61">
        <v>-34049</v>
      </c>
      <c r="F14" s="91">
        <v>-39213</v>
      </c>
      <c r="G14" s="80">
        <f>C14+D14+E14+F14</f>
        <v>-137778</v>
      </c>
      <c r="H14" s="102">
        <v>-34415</v>
      </c>
      <c r="I14" s="91">
        <v>-37600</v>
      </c>
      <c r="J14" s="112">
        <v>-36146</v>
      </c>
    </row>
    <row r="15" spans="1:10" s="5" customFormat="1" ht="27.75" customHeight="1">
      <c r="A15" s="7"/>
      <c r="B15" s="34" t="s">
        <v>11</v>
      </c>
      <c r="C15" s="66">
        <f aca="true" t="shared" si="7" ref="C15:H15">C16+C17</f>
        <v>1526</v>
      </c>
      <c r="D15" s="21">
        <f t="shared" si="7"/>
        <v>1618</v>
      </c>
      <c r="E15" s="21">
        <f t="shared" si="7"/>
        <v>2277</v>
      </c>
      <c r="F15" s="88">
        <f t="shared" si="7"/>
        <v>2414</v>
      </c>
      <c r="G15" s="40">
        <f t="shared" si="7"/>
        <v>7835</v>
      </c>
      <c r="H15" s="98">
        <f t="shared" si="7"/>
        <v>1531</v>
      </c>
      <c r="I15" s="88">
        <f>I16+I17</f>
        <v>2577</v>
      </c>
      <c r="J15" s="109">
        <f>J16+J17</f>
        <v>1725</v>
      </c>
    </row>
    <row r="16" spans="1:10" s="5" customFormat="1" ht="27.75" customHeight="1">
      <c r="A16" s="4"/>
      <c r="B16" s="34" t="s">
        <v>9</v>
      </c>
      <c r="C16" s="67">
        <v>2324</v>
      </c>
      <c r="D16" s="61">
        <v>2353</v>
      </c>
      <c r="E16" s="61">
        <v>3184</v>
      </c>
      <c r="F16" s="91">
        <v>3367</v>
      </c>
      <c r="G16" s="80">
        <f t="shared" si="5"/>
        <v>11228</v>
      </c>
      <c r="H16" s="102">
        <v>2712</v>
      </c>
      <c r="I16" s="91">
        <v>3506</v>
      </c>
      <c r="J16" s="112">
        <v>2487</v>
      </c>
    </row>
    <row r="17" spans="1:10" s="5" customFormat="1" ht="27.75" customHeight="1">
      <c r="A17" s="4"/>
      <c r="B17" s="34" t="s">
        <v>10</v>
      </c>
      <c r="C17" s="66">
        <v>-798</v>
      </c>
      <c r="D17" s="21">
        <v>-735</v>
      </c>
      <c r="E17" s="21">
        <v>-907</v>
      </c>
      <c r="F17" s="88">
        <v>-953</v>
      </c>
      <c r="G17" s="40">
        <f t="shared" si="5"/>
        <v>-3393</v>
      </c>
      <c r="H17" s="98">
        <v>-1181</v>
      </c>
      <c r="I17" s="88">
        <v>-929</v>
      </c>
      <c r="J17" s="109">
        <v>-762</v>
      </c>
    </row>
    <row r="18" spans="1:10" s="5" customFormat="1" ht="27.75" customHeight="1">
      <c r="A18" s="4"/>
      <c r="B18" s="34" t="s">
        <v>12</v>
      </c>
      <c r="C18" s="67">
        <v>-131</v>
      </c>
      <c r="D18" s="61">
        <v>-117</v>
      </c>
      <c r="E18" s="61">
        <v>-98</v>
      </c>
      <c r="F18" s="91">
        <v>-112</v>
      </c>
      <c r="G18" s="80">
        <f t="shared" si="5"/>
        <v>-458</v>
      </c>
      <c r="H18" s="102">
        <v>-110</v>
      </c>
      <c r="I18" s="91">
        <v>-139</v>
      </c>
      <c r="J18" s="112">
        <v>-128</v>
      </c>
    </row>
    <row r="19" spans="1:10" s="6" customFormat="1" ht="27.75" customHeight="1">
      <c r="A19" s="4"/>
      <c r="B19" s="33" t="s">
        <v>13</v>
      </c>
      <c r="C19" s="141">
        <f>C20+C31</f>
        <v>8247</v>
      </c>
      <c r="D19" s="142">
        <f>D20+D31</f>
        <v>4221</v>
      </c>
      <c r="E19" s="142">
        <f>E20+E31</f>
        <v>2768</v>
      </c>
      <c r="F19" s="143">
        <f>F20+F31</f>
        <v>7633</v>
      </c>
      <c r="G19" s="144">
        <f t="shared" si="5"/>
        <v>22869</v>
      </c>
      <c r="H19" s="145">
        <f>H20+H31</f>
        <v>9632</v>
      </c>
      <c r="I19" s="143">
        <f>I20+I31</f>
        <v>7452</v>
      </c>
      <c r="J19" s="121">
        <f>J20+J31</f>
        <v>4482.629069792427</v>
      </c>
    </row>
    <row r="20" spans="1:10" s="5" customFormat="1" ht="27.75" customHeight="1">
      <c r="A20" s="4"/>
      <c r="B20" s="34" t="s">
        <v>14</v>
      </c>
      <c r="C20" s="66">
        <f>C21+C25+C28</f>
        <v>24618</v>
      </c>
      <c r="D20" s="21">
        <f>D21+D25+D28</f>
        <v>20455</v>
      </c>
      <c r="E20" s="21">
        <f>E21+E25+E28</f>
        <v>22951</v>
      </c>
      <c r="F20" s="88">
        <f>F21+F25+F28</f>
        <v>25694</v>
      </c>
      <c r="G20" s="40">
        <f t="shared" si="5"/>
        <v>93718</v>
      </c>
      <c r="H20" s="98">
        <f>H21+H25+H28</f>
        <v>27831</v>
      </c>
      <c r="I20" s="88">
        <f>I21+I25+I28</f>
        <v>26376</v>
      </c>
      <c r="J20" s="109">
        <f>J21+J25+J28</f>
        <v>21589.629069792427</v>
      </c>
    </row>
    <row r="21" spans="1:10" s="5" customFormat="1" ht="27.75" customHeight="1">
      <c r="A21" s="4"/>
      <c r="B21" s="34" t="s">
        <v>15</v>
      </c>
      <c r="C21" s="67">
        <f>C22+C23+C24</f>
        <v>3277</v>
      </c>
      <c r="D21" s="61">
        <f>D22+D23+D24</f>
        <v>2372</v>
      </c>
      <c r="E21" s="61">
        <f>E22+E23+E24</f>
        <v>2726</v>
      </c>
      <c r="F21" s="91">
        <f>F22+F23+F24</f>
        <v>3447</v>
      </c>
      <c r="G21" s="80">
        <f t="shared" si="5"/>
        <v>11822</v>
      </c>
      <c r="H21" s="102">
        <f>H22+H23+H24</f>
        <v>3103</v>
      </c>
      <c r="I21" s="91">
        <v>2930</v>
      </c>
      <c r="J21" s="108">
        <f>J22+J23+J24</f>
        <v>2499</v>
      </c>
    </row>
    <row r="22" spans="1:10" s="9" customFormat="1" ht="27.75" customHeight="1">
      <c r="A22" s="8"/>
      <c r="B22" s="35" t="s">
        <v>16</v>
      </c>
      <c r="C22" s="82">
        <v>2687</v>
      </c>
      <c r="D22" s="83">
        <v>1802</v>
      </c>
      <c r="E22" s="83">
        <v>2151</v>
      </c>
      <c r="F22" s="126">
        <v>2701</v>
      </c>
      <c r="G22" s="81">
        <f t="shared" si="5"/>
        <v>9341</v>
      </c>
      <c r="H22" s="105">
        <v>2402</v>
      </c>
      <c r="I22" s="126">
        <v>2277</v>
      </c>
      <c r="J22" s="122">
        <v>1875</v>
      </c>
    </row>
    <row r="23" spans="1:10" s="9" customFormat="1" ht="27.75" customHeight="1">
      <c r="A23" s="8"/>
      <c r="B23" s="35" t="s">
        <v>17</v>
      </c>
      <c r="C23" s="82">
        <v>167</v>
      </c>
      <c r="D23" s="83">
        <v>181</v>
      </c>
      <c r="E23" s="83">
        <v>196</v>
      </c>
      <c r="F23" s="126">
        <v>193</v>
      </c>
      <c r="G23" s="81">
        <f t="shared" si="5"/>
        <v>737</v>
      </c>
      <c r="H23" s="105">
        <v>151</v>
      </c>
      <c r="I23" s="126">
        <v>144</v>
      </c>
      <c r="J23" s="122">
        <v>149</v>
      </c>
    </row>
    <row r="24" spans="1:10" s="9" customFormat="1" ht="27.75" customHeight="1">
      <c r="A24" s="8"/>
      <c r="B24" s="35" t="s">
        <v>18</v>
      </c>
      <c r="C24" s="77">
        <v>423</v>
      </c>
      <c r="D24" s="29">
        <v>389</v>
      </c>
      <c r="E24" s="29">
        <v>379</v>
      </c>
      <c r="F24" s="92">
        <v>553</v>
      </c>
      <c r="G24" s="60">
        <f t="shared" si="5"/>
        <v>1744</v>
      </c>
      <c r="H24" s="77">
        <v>550</v>
      </c>
      <c r="I24" s="92">
        <f>I21-I22-I23</f>
        <v>509</v>
      </c>
      <c r="J24" s="111">
        <v>475</v>
      </c>
    </row>
    <row r="25" spans="1:10" s="5" customFormat="1" ht="27.75" customHeight="1">
      <c r="A25" s="7"/>
      <c r="B25" s="34" t="s">
        <v>19</v>
      </c>
      <c r="C25" s="66">
        <f>C26+C27</f>
        <v>11949</v>
      </c>
      <c r="D25" s="21">
        <f>D26+D27</f>
        <v>9355</v>
      </c>
      <c r="E25" s="21">
        <f>E26+E27</f>
        <v>8845</v>
      </c>
      <c r="F25" s="88">
        <f>F26+F27</f>
        <v>12568</v>
      </c>
      <c r="G25" s="40">
        <f t="shared" si="5"/>
        <v>42717</v>
      </c>
      <c r="H25" s="98">
        <f>H26+H27</f>
        <v>13768</v>
      </c>
      <c r="I25" s="88">
        <f>I26+I27</f>
        <v>9780</v>
      </c>
      <c r="J25" s="109">
        <f>J26+J27</f>
        <v>8405.629069792429</v>
      </c>
    </row>
    <row r="26" spans="1:10" s="9" customFormat="1" ht="27.75" customHeight="1">
      <c r="A26" s="8"/>
      <c r="B26" s="35" t="s">
        <v>20</v>
      </c>
      <c r="C26" s="82">
        <v>4203</v>
      </c>
      <c r="D26" s="83">
        <v>3720</v>
      </c>
      <c r="E26" s="83">
        <v>3163</v>
      </c>
      <c r="F26" s="126">
        <v>4351</v>
      </c>
      <c r="G26" s="81">
        <f t="shared" si="5"/>
        <v>15437</v>
      </c>
      <c r="H26" s="105">
        <v>5079</v>
      </c>
      <c r="I26" s="126">
        <v>3644</v>
      </c>
      <c r="J26" s="115">
        <v>2612.696299937968</v>
      </c>
    </row>
    <row r="27" spans="1:10" s="9" customFormat="1" ht="27.75" customHeight="1">
      <c r="A27" s="10"/>
      <c r="B27" s="35" t="s">
        <v>21</v>
      </c>
      <c r="C27" s="77">
        <v>7746</v>
      </c>
      <c r="D27" s="29">
        <v>5635</v>
      </c>
      <c r="E27" s="29">
        <v>5682</v>
      </c>
      <c r="F27" s="92">
        <v>8217</v>
      </c>
      <c r="G27" s="60">
        <f t="shared" si="5"/>
        <v>27280</v>
      </c>
      <c r="H27" s="100">
        <v>8689</v>
      </c>
      <c r="I27" s="92">
        <v>6136</v>
      </c>
      <c r="J27" s="111">
        <v>5792.93276985446</v>
      </c>
    </row>
    <row r="28" spans="1:10" s="5" customFormat="1" ht="27.75" customHeight="1">
      <c r="A28" s="4"/>
      <c r="B28" s="34" t="s">
        <v>22</v>
      </c>
      <c r="C28" s="66">
        <f>C29+C30</f>
        <v>9392</v>
      </c>
      <c r="D28" s="21">
        <f>D29+D30</f>
        <v>8728</v>
      </c>
      <c r="E28" s="21">
        <f>E29+E30</f>
        <v>11380</v>
      </c>
      <c r="F28" s="88">
        <f>F29+F30</f>
        <v>9679</v>
      </c>
      <c r="G28" s="40">
        <f t="shared" si="5"/>
        <v>39179</v>
      </c>
      <c r="H28" s="98">
        <f>H29+H30</f>
        <v>10960</v>
      </c>
      <c r="I28" s="88">
        <f>I29+I30</f>
        <v>13666</v>
      </c>
      <c r="J28" s="109">
        <f>J29+J30</f>
        <v>10685</v>
      </c>
    </row>
    <row r="29" spans="1:10" s="9" customFormat="1" ht="27.75" customHeight="1">
      <c r="A29" s="8"/>
      <c r="B29" s="35" t="s">
        <v>23</v>
      </c>
      <c r="C29" s="82">
        <v>8845</v>
      </c>
      <c r="D29" s="83">
        <v>8559</v>
      </c>
      <c r="E29" s="83">
        <v>11159</v>
      </c>
      <c r="F29" s="126">
        <v>9280</v>
      </c>
      <c r="G29" s="81">
        <f t="shared" si="5"/>
        <v>37843</v>
      </c>
      <c r="H29" s="105">
        <v>10793</v>
      </c>
      <c r="I29" s="126">
        <v>13436</v>
      </c>
      <c r="J29" s="115">
        <v>10257</v>
      </c>
    </row>
    <row r="30" spans="1:10" s="9" customFormat="1" ht="27.75" customHeight="1">
      <c r="A30" s="8"/>
      <c r="B30" s="35" t="s">
        <v>24</v>
      </c>
      <c r="C30" s="82">
        <v>547</v>
      </c>
      <c r="D30" s="83">
        <v>169</v>
      </c>
      <c r="E30" s="83">
        <v>221</v>
      </c>
      <c r="F30" s="126">
        <v>399</v>
      </c>
      <c r="G30" s="81">
        <f t="shared" si="5"/>
        <v>1336</v>
      </c>
      <c r="H30" s="105">
        <v>167</v>
      </c>
      <c r="I30" s="126">
        <v>230</v>
      </c>
      <c r="J30" s="122">
        <v>428</v>
      </c>
    </row>
    <row r="31" spans="1:10" s="5" customFormat="1" ht="27.75" customHeight="1">
      <c r="A31" s="4"/>
      <c r="B31" s="34" t="s">
        <v>25</v>
      </c>
      <c r="C31" s="67">
        <f>C32+C36+C39</f>
        <v>-16371</v>
      </c>
      <c r="D31" s="61">
        <f>D32+D36+D39</f>
        <v>-16234</v>
      </c>
      <c r="E31" s="61">
        <f>E32+E36+E39</f>
        <v>-20183</v>
      </c>
      <c r="F31" s="91">
        <f>F32+F36+F39</f>
        <v>-18061</v>
      </c>
      <c r="G31" s="80">
        <f t="shared" si="5"/>
        <v>-70849</v>
      </c>
      <c r="H31" s="102">
        <f>H32+H36+H39</f>
        <v>-18199</v>
      </c>
      <c r="I31" s="91">
        <f>I32+I36+I39</f>
        <v>-18924</v>
      </c>
      <c r="J31" s="108">
        <f>J32+J36+J39</f>
        <v>-17107</v>
      </c>
    </row>
    <row r="32" spans="1:10" s="5" customFormat="1" ht="27.75" customHeight="1">
      <c r="A32" s="4"/>
      <c r="B32" s="34" t="s">
        <v>15</v>
      </c>
      <c r="C32" s="67">
        <f>C33+C34+C35</f>
        <v>-4315</v>
      </c>
      <c r="D32" s="61">
        <f>D33+D34+D35</f>
        <v>-3966</v>
      </c>
      <c r="E32" s="61">
        <f>E33+E34+E35</f>
        <v>-4230</v>
      </c>
      <c r="F32" s="91">
        <f>F33+F34+F35</f>
        <v>-4960</v>
      </c>
      <c r="G32" s="80">
        <f t="shared" si="5"/>
        <v>-17471</v>
      </c>
      <c r="H32" s="102">
        <f>H33+H34+H35</f>
        <v>-4342</v>
      </c>
      <c r="I32" s="91">
        <f>I33+I34+I35</f>
        <v>-4156</v>
      </c>
      <c r="J32" s="108">
        <f>J33+J34+J35</f>
        <v>-4409</v>
      </c>
    </row>
    <row r="33" spans="1:10" s="9" customFormat="1" ht="27.75" customHeight="1">
      <c r="A33" s="8"/>
      <c r="B33" s="35" t="s">
        <v>16</v>
      </c>
      <c r="C33" s="82">
        <v>-168</v>
      </c>
      <c r="D33" s="83">
        <v>-239</v>
      </c>
      <c r="E33" s="83">
        <v>-225</v>
      </c>
      <c r="F33" s="126">
        <v>-150</v>
      </c>
      <c r="G33" s="81">
        <f t="shared" si="5"/>
        <v>-782</v>
      </c>
      <c r="H33" s="105">
        <v>-175</v>
      </c>
      <c r="I33" s="126">
        <v>-229</v>
      </c>
      <c r="J33" s="122">
        <v>-225</v>
      </c>
    </row>
    <row r="34" spans="1:10" s="9" customFormat="1" ht="27.75" customHeight="1">
      <c r="A34" s="8"/>
      <c r="B34" s="35" t="s">
        <v>17</v>
      </c>
      <c r="C34" s="77">
        <v>-2008</v>
      </c>
      <c r="D34" s="29">
        <v>-2011</v>
      </c>
      <c r="E34" s="29">
        <v>-2223</v>
      </c>
      <c r="F34" s="92">
        <v>-2543</v>
      </c>
      <c r="G34" s="60">
        <f t="shared" si="5"/>
        <v>-8785</v>
      </c>
      <c r="H34" s="100">
        <v>-2215</v>
      </c>
      <c r="I34" s="92">
        <v>-2396</v>
      </c>
      <c r="J34" s="111">
        <v>-2422</v>
      </c>
    </row>
    <row r="35" spans="1:10" s="9" customFormat="1" ht="27.75" customHeight="1">
      <c r="A35" s="8"/>
      <c r="B35" s="35" t="s">
        <v>18</v>
      </c>
      <c r="C35" s="77">
        <v>-2139</v>
      </c>
      <c r="D35" s="29">
        <v>-1716</v>
      </c>
      <c r="E35" s="29">
        <v>-1782</v>
      </c>
      <c r="F35" s="92">
        <v>-2267</v>
      </c>
      <c r="G35" s="60">
        <f t="shared" si="5"/>
        <v>-7904</v>
      </c>
      <c r="H35" s="77">
        <v>-1952</v>
      </c>
      <c r="I35" s="92">
        <v>-1531</v>
      </c>
      <c r="J35" s="111">
        <v>-1762</v>
      </c>
    </row>
    <row r="36" spans="1:10" s="5" customFormat="1" ht="27.75" customHeight="1">
      <c r="A36" s="7"/>
      <c r="B36" s="34" t="s">
        <v>19</v>
      </c>
      <c r="C36" s="66">
        <f>C37+C38</f>
        <v>-2812</v>
      </c>
      <c r="D36" s="21">
        <f>D37+D38</f>
        <v>-2767</v>
      </c>
      <c r="E36" s="21">
        <f>E37+E38</f>
        <v>-3211</v>
      </c>
      <c r="F36" s="88">
        <f>F37+F38</f>
        <v>-2693</v>
      </c>
      <c r="G36" s="40">
        <f t="shared" si="5"/>
        <v>-11483</v>
      </c>
      <c r="H36" s="98">
        <f>H37+H38</f>
        <v>-2575</v>
      </c>
      <c r="I36" s="88">
        <f>I37+I38</f>
        <v>-2632</v>
      </c>
      <c r="J36" s="123">
        <f>J37+J38</f>
        <v>-2979</v>
      </c>
    </row>
    <row r="37" spans="1:10" s="9" customFormat="1" ht="27.75" customHeight="1">
      <c r="A37" s="8"/>
      <c r="B37" s="35" t="s">
        <v>20</v>
      </c>
      <c r="C37" s="82">
        <v>-314</v>
      </c>
      <c r="D37" s="83">
        <v>-225</v>
      </c>
      <c r="E37" s="83">
        <v>-139</v>
      </c>
      <c r="F37" s="126">
        <v>-93</v>
      </c>
      <c r="G37" s="81">
        <f t="shared" si="5"/>
        <v>-771</v>
      </c>
      <c r="H37" s="105">
        <v>-113</v>
      </c>
      <c r="I37" s="126">
        <v>-193</v>
      </c>
      <c r="J37" s="122">
        <v>-110</v>
      </c>
    </row>
    <row r="38" spans="1:10" s="9" customFormat="1" ht="27.75" customHeight="1">
      <c r="A38" s="10"/>
      <c r="B38" s="35" t="s">
        <v>21</v>
      </c>
      <c r="C38" s="77">
        <v>-2498</v>
      </c>
      <c r="D38" s="29">
        <v>-2542</v>
      </c>
      <c r="E38" s="29">
        <v>-3072</v>
      </c>
      <c r="F38" s="92">
        <v>-2600</v>
      </c>
      <c r="G38" s="60">
        <f t="shared" si="5"/>
        <v>-10712</v>
      </c>
      <c r="H38" s="100">
        <v>-2462</v>
      </c>
      <c r="I38" s="92">
        <v>-2439</v>
      </c>
      <c r="J38" s="110">
        <v>-2869</v>
      </c>
    </row>
    <row r="39" spans="1:10" s="5" customFormat="1" ht="27.75" customHeight="1">
      <c r="A39" s="4"/>
      <c r="B39" s="34" t="s">
        <v>22</v>
      </c>
      <c r="C39" s="146">
        <f>C40+C41</f>
        <v>-9244</v>
      </c>
      <c r="D39" s="147">
        <f>D40+D41</f>
        <v>-9501</v>
      </c>
      <c r="E39" s="147">
        <f>E40+E41</f>
        <v>-12742</v>
      </c>
      <c r="F39" s="127">
        <v>-10408</v>
      </c>
      <c r="G39" s="148">
        <f t="shared" si="5"/>
        <v>-41895</v>
      </c>
      <c r="H39" s="119">
        <f>H40+H41</f>
        <v>-11282</v>
      </c>
      <c r="I39" s="127">
        <f>I40+I41</f>
        <v>-12136</v>
      </c>
      <c r="J39" s="140">
        <f>J40+J41</f>
        <v>-9719</v>
      </c>
    </row>
    <row r="40" spans="1:10" s="9" customFormat="1" ht="27.75" customHeight="1">
      <c r="A40" s="10"/>
      <c r="B40" s="35" t="s">
        <v>23</v>
      </c>
      <c r="C40" s="77">
        <v>-8782</v>
      </c>
      <c r="D40" s="29">
        <v>-9242</v>
      </c>
      <c r="E40" s="29">
        <v>-12457</v>
      </c>
      <c r="F40" s="92">
        <v>-10192</v>
      </c>
      <c r="G40" s="60">
        <f t="shared" si="5"/>
        <v>-40673</v>
      </c>
      <c r="H40" s="100">
        <v>-10889</v>
      </c>
      <c r="I40" s="92">
        <v>-11830</v>
      </c>
      <c r="J40" s="111">
        <v>-9240</v>
      </c>
    </row>
    <row r="41" spans="1:10" s="9" customFormat="1" ht="27.75" customHeight="1">
      <c r="A41" s="10"/>
      <c r="B41" s="35" t="s">
        <v>24</v>
      </c>
      <c r="C41" s="77">
        <v>-462</v>
      </c>
      <c r="D41" s="29">
        <v>-259</v>
      </c>
      <c r="E41" s="29">
        <v>-285</v>
      </c>
      <c r="F41" s="92">
        <v>-216</v>
      </c>
      <c r="G41" s="60">
        <f t="shared" si="5"/>
        <v>-1222</v>
      </c>
      <c r="H41" s="100">
        <v>-393</v>
      </c>
      <c r="I41" s="92">
        <v>-306</v>
      </c>
      <c r="J41" s="110">
        <v>-479</v>
      </c>
    </row>
    <row r="42" spans="1:10" s="5" customFormat="1" ht="27.75" customHeight="1">
      <c r="A42" s="4" t="s">
        <v>26</v>
      </c>
      <c r="B42" s="33" t="s">
        <v>27</v>
      </c>
      <c r="C42" s="63">
        <f>C43+C60</f>
        <v>1451.625</v>
      </c>
      <c r="D42" s="18">
        <f>D43+D60</f>
        <v>-334.5</v>
      </c>
      <c r="E42" s="18">
        <f>E43+E60</f>
        <v>-567.75</v>
      </c>
      <c r="F42" s="47">
        <f>F43+F60</f>
        <v>-2502</v>
      </c>
      <c r="G42" s="42">
        <f>C42+D42+E42+F42</f>
        <v>-1952.625</v>
      </c>
      <c r="H42" s="104">
        <f>H43+H60</f>
        <v>1762</v>
      </c>
      <c r="I42" s="47">
        <f>I43+I60</f>
        <v>1456.0800000000017</v>
      </c>
      <c r="J42" s="117">
        <f>J43+J60</f>
        <v>1646</v>
      </c>
    </row>
    <row r="43" spans="1:10" s="5" customFormat="1" ht="27.75" customHeight="1">
      <c r="A43" s="4"/>
      <c r="B43" s="34" t="s">
        <v>28</v>
      </c>
      <c r="C43" s="67">
        <f>C44+C45+C47+C49</f>
        <v>25476.5</v>
      </c>
      <c r="D43" s="61">
        <f>D44+D45+D47+D49</f>
        <v>29573.75</v>
      </c>
      <c r="E43" s="61">
        <f>E44+E45+E47+E49</f>
        <v>49780.25</v>
      </c>
      <c r="F43" s="91">
        <f>F44+F45+F47+F49</f>
        <v>68061.375</v>
      </c>
      <c r="G43" s="80">
        <f t="shared" si="5"/>
        <v>172891.875</v>
      </c>
      <c r="H43" s="102">
        <f>H44+H45+H47+H49</f>
        <v>56003</v>
      </c>
      <c r="I43" s="91">
        <f>I44+I45+I47+I49</f>
        <v>59373.880000000005</v>
      </c>
      <c r="J43" s="108">
        <f>J44+J45+J47+J49</f>
        <v>59490</v>
      </c>
    </row>
    <row r="44" spans="1:10" s="5" customFormat="1" ht="27.75" customHeight="1">
      <c r="A44" s="4"/>
      <c r="B44" s="34" t="s">
        <v>29</v>
      </c>
      <c r="C44" s="146">
        <v>5</v>
      </c>
      <c r="D44" s="147">
        <v>2</v>
      </c>
      <c r="E44" s="147">
        <v>3</v>
      </c>
      <c r="F44" s="127">
        <v>5</v>
      </c>
      <c r="G44" s="148">
        <f t="shared" si="5"/>
        <v>15</v>
      </c>
      <c r="H44" s="102">
        <v>5</v>
      </c>
      <c r="I44" s="91">
        <v>5</v>
      </c>
      <c r="J44" s="108">
        <v>12</v>
      </c>
    </row>
    <row r="45" spans="1:10" s="5" customFormat="1" ht="27.75" customHeight="1">
      <c r="A45" s="4"/>
      <c r="B45" s="34" t="s">
        <v>30</v>
      </c>
      <c r="C45" s="67">
        <f>12+C46</f>
        <v>18931.125</v>
      </c>
      <c r="D45" s="61">
        <f>24+D46</f>
        <v>21646.5</v>
      </c>
      <c r="E45" s="61">
        <f>32+E46</f>
        <v>39222.5</v>
      </c>
      <c r="F45" s="91">
        <f>131+F46</f>
        <v>55535</v>
      </c>
      <c r="G45" s="80">
        <f t="shared" si="5"/>
        <v>135335.125</v>
      </c>
      <c r="H45" s="102">
        <f>78+H46</f>
        <v>45121</v>
      </c>
      <c r="I45" s="91">
        <f>812+I46</f>
        <v>47017.08</v>
      </c>
      <c r="J45" s="108">
        <f>245+J46</f>
        <v>48564</v>
      </c>
    </row>
    <row r="46" spans="1:10" s="9" customFormat="1" ht="27.75" customHeight="1">
      <c r="A46" s="10"/>
      <c r="B46" s="35" t="s">
        <v>75</v>
      </c>
      <c r="C46" s="77">
        <f>9/8*16817</f>
        <v>18919.125</v>
      </c>
      <c r="D46" s="29">
        <f>9/8*19220</f>
        <v>21622.5</v>
      </c>
      <c r="E46" s="29">
        <f>9/8*34836</f>
        <v>39190.5</v>
      </c>
      <c r="F46" s="92">
        <f>9/8*49248</f>
        <v>55404</v>
      </c>
      <c r="G46" s="60">
        <f t="shared" si="5"/>
        <v>135136.125</v>
      </c>
      <c r="H46" s="100">
        <v>45043</v>
      </c>
      <c r="I46" s="92">
        <v>46205.08</v>
      </c>
      <c r="J46" s="110">
        <v>48319</v>
      </c>
    </row>
    <row r="47" spans="1:10" s="5" customFormat="1" ht="27.75" customHeight="1">
      <c r="A47" s="4"/>
      <c r="B47" s="34" t="s">
        <v>31</v>
      </c>
      <c r="C47" s="67">
        <f>55+C48</f>
        <v>1677.25</v>
      </c>
      <c r="D47" s="61">
        <f>432+D48</f>
        <v>2286</v>
      </c>
      <c r="E47" s="61">
        <f>817+E48</f>
        <v>4177.375</v>
      </c>
      <c r="F47" s="91">
        <f>289+F48</f>
        <v>5041</v>
      </c>
      <c r="G47" s="80">
        <f t="shared" si="5"/>
        <v>13181.625</v>
      </c>
      <c r="H47" s="102">
        <f>108+H48</f>
        <v>3713</v>
      </c>
      <c r="I47" s="91">
        <f>1188+I48</f>
        <v>4978.4</v>
      </c>
      <c r="J47" s="112">
        <f>285+J48</f>
        <v>3571</v>
      </c>
    </row>
    <row r="48" spans="1:10" s="9" customFormat="1" ht="27.75" customHeight="1">
      <c r="A48" s="10"/>
      <c r="B48" s="35" t="s">
        <v>75</v>
      </c>
      <c r="C48" s="77">
        <f>9/8*1442</f>
        <v>1622.25</v>
      </c>
      <c r="D48" s="29">
        <f>9/8*1648</f>
        <v>1854</v>
      </c>
      <c r="E48" s="29">
        <f>9/8*2987</f>
        <v>3360.375</v>
      </c>
      <c r="F48" s="92">
        <f>9/8*4224</f>
        <v>4752</v>
      </c>
      <c r="G48" s="60">
        <f t="shared" si="5"/>
        <v>11588.625</v>
      </c>
      <c r="H48" s="100">
        <v>3605</v>
      </c>
      <c r="I48" s="92">
        <v>3790.3999999999996</v>
      </c>
      <c r="J48" s="111">
        <v>3286</v>
      </c>
    </row>
    <row r="49" spans="1:10" s="5" customFormat="1" ht="27.75" customHeight="1">
      <c r="A49" s="7"/>
      <c r="B49" s="34" t="s">
        <v>32</v>
      </c>
      <c r="C49" s="66">
        <f>C50+C51+C52+C53</f>
        <v>4863.125</v>
      </c>
      <c r="D49" s="21">
        <f>D50+D51+D52+D53</f>
        <v>5639.25</v>
      </c>
      <c r="E49" s="21">
        <f>E50+E51+E52+E53</f>
        <v>6377.375</v>
      </c>
      <c r="F49" s="88">
        <f>F50+F51+F52+F53</f>
        <v>7480.375</v>
      </c>
      <c r="G49" s="40">
        <f t="shared" si="5"/>
        <v>24360.125</v>
      </c>
      <c r="H49" s="98">
        <f>H50+H51+H52+H53</f>
        <v>7164</v>
      </c>
      <c r="I49" s="88">
        <f>I50+I51+I52+I53</f>
        <v>7373.4</v>
      </c>
      <c r="J49" s="123">
        <f>J50+J51+J52+J53</f>
        <v>7343</v>
      </c>
    </row>
    <row r="50" spans="1:10" s="9" customFormat="1" ht="27.75" customHeight="1">
      <c r="A50" s="10"/>
      <c r="B50" s="35" t="s">
        <v>34</v>
      </c>
      <c r="C50" s="77">
        <v>0</v>
      </c>
      <c r="D50" s="29">
        <v>0</v>
      </c>
      <c r="E50" s="29">
        <v>0</v>
      </c>
      <c r="F50" s="92">
        <v>0</v>
      </c>
      <c r="G50" s="60">
        <f t="shared" si="5"/>
        <v>0</v>
      </c>
      <c r="H50" s="100">
        <v>0</v>
      </c>
      <c r="I50" s="92">
        <v>0</v>
      </c>
      <c r="J50" s="110">
        <v>0</v>
      </c>
    </row>
    <row r="51" spans="1:10" s="9" customFormat="1" ht="27.75" customHeight="1">
      <c r="A51" s="10"/>
      <c r="B51" s="35" t="s">
        <v>33</v>
      </c>
      <c r="C51" s="77">
        <v>104</v>
      </c>
      <c r="D51" s="29">
        <v>327</v>
      </c>
      <c r="E51" s="29">
        <v>406</v>
      </c>
      <c r="F51" s="92">
        <v>190</v>
      </c>
      <c r="G51" s="60">
        <f t="shared" si="5"/>
        <v>1027</v>
      </c>
      <c r="H51" s="100">
        <v>193</v>
      </c>
      <c r="I51" s="92">
        <v>215</v>
      </c>
      <c r="J51" s="110">
        <v>226</v>
      </c>
    </row>
    <row r="52" spans="1:10" s="9" customFormat="1" ht="27.75" customHeight="1">
      <c r="A52" s="10"/>
      <c r="B52" s="35" t="s">
        <v>71</v>
      </c>
      <c r="C52" s="77">
        <v>3269</v>
      </c>
      <c r="D52" s="29">
        <v>3585</v>
      </c>
      <c r="E52" s="29">
        <v>3014</v>
      </c>
      <c r="F52" s="92">
        <v>3150</v>
      </c>
      <c r="G52" s="60">
        <f t="shared" si="5"/>
        <v>13018</v>
      </c>
      <c r="H52" s="100">
        <v>3805</v>
      </c>
      <c r="I52" s="92">
        <v>3715</v>
      </c>
      <c r="J52" s="110">
        <v>4151</v>
      </c>
    </row>
    <row r="53" spans="1:10" s="9" customFormat="1" ht="27.75" customHeight="1">
      <c r="A53" s="10"/>
      <c r="B53" s="35" t="s">
        <v>72</v>
      </c>
      <c r="C53" s="77">
        <f>94+C54</f>
        <v>1490.125</v>
      </c>
      <c r="D53" s="29">
        <f>132+D54</f>
        <v>1727.25</v>
      </c>
      <c r="E53" s="29">
        <f>65+E54</f>
        <v>2957.375</v>
      </c>
      <c r="F53" s="92">
        <f>51+F54</f>
        <v>4140.375</v>
      </c>
      <c r="G53" s="60">
        <f t="shared" si="5"/>
        <v>10315.125</v>
      </c>
      <c r="H53" s="100">
        <f>63+H54</f>
        <v>3166</v>
      </c>
      <c r="I53" s="92">
        <f>182+I54</f>
        <v>3443.3999999999996</v>
      </c>
      <c r="J53" s="111">
        <f>138+J54</f>
        <v>2966</v>
      </c>
    </row>
    <row r="54" spans="1:10" s="9" customFormat="1" ht="27.75" customHeight="1" thickBot="1">
      <c r="A54" s="131"/>
      <c r="B54" s="132" t="s">
        <v>75</v>
      </c>
      <c r="C54" s="133">
        <f>9/8*1241</f>
        <v>1396.125</v>
      </c>
      <c r="D54" s="134">
        <f>9/8*1418</f>
        <v>1595.25</v>
      </c>
      <c r="E54" s="134">
        <f>9/8*2571</f>
        <v>2892.375</v>
      </c>
      <c r="F54" s="135">
        <f>9/8*3635</f>
        <v>4089.375</v>
      </c>
      <c r="G54" s="136">
        <f t="shared" si="5"/>
        <v>9973.125</v>
      </c>
      <c r="H54" s="137">
        <v>3103</v>
      </c>
      <c r="I54" s="135">
        <v>3261.3999999999996</v>
      </c>
      <c r="J54" s="138">
        <v>2828</v>
      </c>
    </row>
    <row r="55" spans="1:10" ht="43.5" customHeight="1">
      <c r="A55" s="54" t="s">
        <v>69</v>
      </c>
      <c r="B55" s="9"/>
      <c r="C55" s="26"/>
      <c r="E55" s="28"/>
      <c r="F55" s="28"/>
      <c r="G55" s="28"/>
      <c r="H55" s="28"/>
      <c r="I55" s="28"/>
      <c r="J55" s="28"/>
    </row>
    <row r="56" spans="1:10" ht="28.5" customHeight="1" thickBot="1">
      <c r="A56" s="12"/>
      <c r="C56" s="26"/>
      <c r="D56" s="17"/>
      <c r="F56" s="17"/>
      <c r="G56" s="17"/>
      <c r="H56" s="17"/>
      <c r="I56" s="17"/>
      <c r="J56" s="17" t="s">
        <v>0</v>
      </c>
    </row>
    <row r="57" spans="1:10" s="5" customFormat="1" ht="33.75" customHeight="1">
      <c r="A57" s="165"/>
      <c r="B57" s="163"/>
      <c r="C57" s="167" t="s">
        <v>76</v>
      </c>
      <c r="D57" s="168"/>
      <c r="E57" s="168"/>
      <c r="F57" s="168"/>
      <c r="G57" s="153" t="s">
        <v>76</v>
      </c>
      <c r="H57" s="150" t="s">
        <v>81</v>
      </c>
      <c r="I57" s="151"/>
      <c r="J57" s="152"/>
    </row>
    <row r="58" spans="1:10" s="5" customFormat="1" ht="54.75" customHeight="1">
      <c r="A58" s="166"/>
      <c r="B58" s="164"/>
      <c r="C58" s="58" t="s">
        <v>77</v>
      </c>
      <c r="D58" s="59" t="s">
        <v>78</v>
      </c>
      <c r="E58" s="49" t="s">
        <v>79</v>
      </c>
      <c r="F58" s="49" t="s">
        <v>86</v>
      </c>
      <c r="G58" s="154"/>
      <c r="H58" s="94" t="s">
        <v>82</v>
      </c>
      <c r="I58" s="49" t="s">
        <v>83</v>
      </c>
      <c r="J58" s="107" t="s">
        <v>85</v>
      </c>
    </row>
    <row r="59" spans="1:10" s="5" customFormat="1" ht="9.75" customHeight="1">
      <c r="A59" s="4"/>
      <c r="B59" s="36"/>
      <c r="C59" s="76"/>
      <c r="D59" s="53"/>
      <c r="E59" s="53"/>
      <c r="F59" s="57"/>
      <c r="G59" s="62"/>
      <c r="H59" s="103"/>
      <c r="I59" s="125"/>
      <c r="J59" s="114"/>
    </row>
    <row r="60" spans="1:10" s="5" customFormat="1" ht="24.75" customHeight="1">
      <c r="A60" s="14"/>
      <c r="B60" s="34" t="s">
        <v>25</v>
      </c>
      <c r="C60" s="66">
        <f>C61+C62+C64+C66</f>
        <v>-24024.875</v>
      </c>
      <c r="D60" s="21">
        <f>D61+D62+D64+D66</f>
        <v>-29908.25</v>
      </c>
      <c r="E60" s="21">
        <f>E61+E62+E64+E66</f>
        <v>-50348</v>
      </c>
      <c r="F60" s="71">
        <f>F61+F62+F64+F66</f>
        <v>-70563.375</v>
      </c>
      <c r="G60" s="40">
        <f>C60+D60+E60+F60</f>
        <v>-174844.5</v>
      </c>
      <c r="H60" s="98">
        <f>H61+H62+H64+H66</f>
        <v>-54241</v>
      </c>
      <c r="I60" s="88">
        <f>I61+I62+I64+I66</f>
        <v>-57917.8</v>
      </c>
      <c r="J60" s="109">
        <f>J61+J62+J64+J66</f>
        <v>-57844</v>
      </c>
    </row>
    <row r="61" spans="1:10" s="5" customFormat="1" ht="24.75" customHeight="1">
      <c r="A61" s="14"/>
      <c r="B61" s="34" t="s">
        <v>35</v>
      </c>
      <c r="C61" s="65">
        <v>-60</v>
      </c>
      <c r="D61" s="20">
        <v>-71</v>
      </c>
      <c r="E61" s="20">
        <v>-61</v>
      </c>
      <c r="F61" s="57">
        <v>-79</v>
      </c>
      <c r="G61" s="39">
        <f aca="true" t="shared" si="8" ref="G61:G119">C61+D61+E61+F61</f>
        <v>-271</v>
      </c>
      <c r="H61" s="97">
        <v>-60</v>
      </c>
      <c r="I61" s="87">
        <v>-62</v>
      </c>
      <c r="J61" s="108">
        <v>-57</v>
      </c>
    </row>
    <row r="62" spans="1:12" s="5" customFormat="1" ht="24.75" customHeight="1">
      <c r="A62" s="14"/>
      <c r="B62" s="34" t="s">
        <v>30</v>
      </c>
      <c r="C62" s="67">
        <f>-280+C63</f>
        <v>-21117.25</v>
      </c>
      <c r="D62" s="61">
        <f>-2226+D63</f>
        <v>-26038.875</v>
      </c>
      <c r="E62" s="61">
        <f>-1114+E63</f>
        <v>-44275.75</v>
      </c>
      <c r="F62" s="72">
        <f>-1368+F63</f>
        <v>-62390.25</v>
      </c>
      <c r="G62" s="80">
        <f t="shared" si="8"/>
        <v>-153822.125</v>
      </c>
      <c r="H62" s="102">
        <f>-523+H63</f>
        <v>-46828</v>
      </c>
      <c r="I62" s="91">
        <f>-1758+I63</f>
        <v>-50558.8</v>
      </c>
      <c r="J62" s="112">
        <f>-424+J63</f>
        <v>-50300</v>
      </c>
      <c r="K62" s="149"/>
      <c r="L62" s="149"/>
    </row>
    <row r="63" spans="1:10" s="9" customFormat="1" ht="24.75" customHeight="1">
      <c r="A63" s="15"/>
      <c r="B63" s="35" t="s">
        <v>75</v>
      </c>
      <c r="C63" s="77">
        <f>9/8*-18522</f>
        <v>-20837.25</v>
      </c>
      <c r="D63" s="29">
        <f>9/8*-21167</f>
        <v>-23812.875</v>
      </c>
      <c r="E63" s="29">
        <f>9/8*-38366</f>
        <v>-43161.75</v>
      </c>
      <c r="F63" s="79">
        <f>9/8*-54242</f>
        <v>-61022.25</v>
      </c>
      <c r="G63" s="60">
        <f t="shared" si="8"/>
        <v>-148834.125</v>
      </c>
      <c r="H63" s="100">
        <v>-46305</v>
      </c>
      <c r="I63" s="92">
        <v>-48800.8</v>
      </c>
      <c r="J63" s="111">
        <v>-49876</v>
      </c>
    </row>
    <row r="64" spans="1:10" s="5" customFormat="1" ht="24.75" customHeight="1">
      <c r="A64" s="14"/>
      <c r="B64" s="34" t="s">
        <v>31</v>
      </c>
      <c r="C64" s="67">
        <f>-163+C65</f>
        <v>-1410.625</v>
      </c>
      <c r="D64" s="61">
        <f>-509+D65</f>
        <v>-1935.5</v>
      </c>
      <c r="E64" s="61">
        <f>-742+E65</f>
        <v>-3327.25</v>
      </c>
      <c r="F64" s="72">
        <f>-848+F65</f>
        <v>-4502</v>
      </c>
      <c r="G64" s="80">
        <f t="shared" si="8"/>
        <v>-11175.375</v>
      </c>
      <c r="H64" s="102">
        <f>-729+H65</f>
        <v>-3502</v>
      </c>
      <c r="I64" s="91">
        <f>-476+I65</f>
        <v>-3519.2</v>
      </c>
      <c r="J64" s="112">
        <f>-341+J65</f>
        <v>-3328</v>
      </c>
    </row>
    <row r="65" spans="1:10" s="9" customFormat="1" ht="24.75" customHeight="1">
      <c r="A65" s="15"/>
      <c r="B65" s="35" t="s">
        <v>75</v>
      </c>
      <c r="C65" s="77">
        <f>9/8*-1109</f>
        <v>-1247.625</v>
      </c>
      <c r="D65" s="29">
        <f>9/8*-1268</f>
        <v>-1426.5</v>
      </c>
      <c r="E65" s="29">
        <f>9/8*-2298</f>
        <v>-2585.25</v>
      </c>
      <c r="F65" s="79">
        <f>9/8*-3248</f>
        <v>-3654</v>
      </c>
      <c r="G65" s="60">
        <f t="shared" si="8"/>
        <v>-8913.375</v>
      </c>
      <c r="H65" s="100">
        <v>-2773</v>
      </c>
      <c r="I65" s="92">
        <v>-3043.2</v>
      </c>
      <c r="J65" s="111">
        <v>-2987</v>
      </c>
    </row>
    <row r="66" spans="1:10" s="5" customFormat="1" ht="24.75" customHeight="1">
      <c r="A66" s="14"/>
      <c r="B66" s="34" t="s">
        <v>32</v>
      </c>
      <c r="C66" s="66">
        <f>C67+C68+C69+C70</f>
        <v>-1437</v>
      </c>
      <c r="D66" s="21">
        <f>D67+D68+D69+D70</f>
        <v>-1862.875</v>
      </c>
      <c r="E66" s="21">
        <f>E67+E68+E69+E70</f>
        <v>-2684</v>
      </c>
      <c r="F66" s="71">
        <f>F67+F68+F69+F70</f>
        <v>-3592.125</v>
      </c>
      <c r="G66" s="40">
        <f t="shared" si="8"/>
        <v>-9576</v>
      </c>
      <c r="H66" s="98">
        <f>H67+H68+H69+H70</f>
        <v>-3851</v>
      </c>
      <c r="I66" s="88">
        <f>I67+I68+I69+I70</f>
        <v>-3777.7999999999997</v>
      </c>
      <c r="J66" s="109">
        <f>J67+J68+J69+J70</f>
        <v>-4159</v>
      </c>
    </row>
    <row r="67" spans="1:10" s="9" customFormat="1" ht="24.75" customHeight="1">
      <c r="A67" s="15"/>
      <c r="B67" s="35" t="s">
        <v>34</v>
      </c>
      <c r="C67" s="77">
        <v>-143</v>
      </c>
      <c r="D67" s="29">
        <v>-51</v>
      </c>
      <c r="E67" s="29">
        <v>-178</v>
      </c>
      <c r="F67" s="79">
        <v>-58</v>
      </c>
      <c r="G67" s="60">
        <f t="shared" si="8"/>
        <v>-430</v>
      </c>
      <c r="H67" s="100">
        <v>-197</v>
      </c>
      <c r="I67" s="92">
        <v>-132</v>
      </c>
      <c r="J67" s="111">
        <v>-217</v>
      </c>
    </row>
    <row r="68" spans="1:10" s="9" customFormat="1" ht="24.75" customHeight="1">
      <c r="A68" s="15"/>
      <c r="B68" s="35" t="s">
        <v>33</v>
      </c>
      <c r="C68" s="68">
        <v>-1</v>
      </c>
      <c r="D68" s="22">
        <v>-1</v>
      </c>
      <c r="E68" s="22">
        <v>-1</v>
      </c>
      <c r="F68" s="73">
        <v>-1</v>
      </c>
      <c r="G68" s="41">
        <f t="shared" si="8"/>
        <v>-4</v>
      </c>
      <c r="H68" s="99">
        <v>-1</v>
      </c>
      <c r="I68" s="89">
        <v>-1</v>
      </c>
      <c r="J68" s="110">
        <v>-1</v>
      </c>
    </row>
    <row r="69" spans="1:10" s="9" customFormat="1" ht="24.75" customHeight="1">
      <c r="A69" s="15"/>
      <c r="B69" s="35" t="s">
        <v>71</v>
      </c>
      <c r="C69" s="77">
        <v>-418</v>
      </c>
      <c r="D69" s="29">
        <v>-785</v>
      </c>
      <c r="E69" s="29">
        <v>-635</v>
      </c>
      <c r="F69" s="79">
        <v>-941</v>
      </c>
      <c r="G69" s="60">
        <f t="shared" si="8"/>
        <v>-2779</v>
      </c>
      <c r="H69" s="100">
        <v>-1642</v>
      </c>
      <c r="I69" s="92">
        <v>-1486</v>
      </c>
      <c r="J69" s="111">
        <v>-1750</v>
      </c>
    </row>
    <row r="70" spans="1:10" s="9" customFormat="1" ht="24.75" customHeight="1">
      <c r="A70" s="15"/>
      <c r="B70" s="35" t="s">
        <v>72</v>
      </c>
      <c r="C70" s="77">
        <f>-2+C71</f>
        <v>-875</v>
      </c>
      <c r="D70" s="29">
        <f>-28+D71</f>
        <v>-1025.875</v>
      </c>
      <c r="E70" s="29">
        <f>-61+E71</f>
        <v>-1870</v>
      </c>
      <c r="F70" s="79">
        <f>-35+F71</f>
        <v>-2592.125</v>
      </c>
      <c r="G70" s="60">
        <f t="shared" si="8"/>
        <v>-6363</v>
      </c>
      <c r="H70" s="100">
        <f>-71+H71</f>
        <v>-2011</v>
      </c>
      <c r="I70" s="92">
        <f>-30+I71</f>
        <v>-2158.7999999999997</v>
      </c>
      <c r="J70" s="111">
        <f>-101+J71</f>
        <v>-2191</v>
      </c>
    </row>
    <row r="71" spans="1:10" s="9" customFormat="1" ht="24.75" customHeight="1">
      <c r="A71" s="15"/>
      <c r="B71" s="35" t="s">
        <v>75</v>
      </c>
      <c r="C71" s="77">
        <f>9/8*-776</f>
        <v>-873</v>
      </c>
      <c r="D71" s="29">
        <f>9/8*-887</f>
        <v>-997.875</v>
      </c>
      <c r="E71" s="29">
        <f>9/8*-1608</f>
        <v>-1809</v>
      </c>
      <c r="F71" s="79">
        <f>9/8*-2273</f>
        <v>-2557.125</v>
      </c>
      <c r="G71" s="60">
        <f t="shared" si="8"/>
        <v>-6237</v>
      </c>
      <c r="H71" s="100">
        <v>-1940</v>
      </c>
      <c r="I71" s="92">
        <v>-2128.7999999999997</v>
      </c>
      <c r="J71" s="111">
        <v>-2090</v>
      </c>
    </row>
    <row r="72" spans="1:10" s="5" customFormat="1" ht="24.75" customHeight="1">
      <c r="A72" s="14" t="s">
        <v>36</v>
      </c>
      <c r="B72" s="33" t="s">
        <v>37</v>
      </c>
      <c r="C72" s="63">
        <f>C73+C76</f>
        <v>1319</v>
      </c>
      <c r="D72" s="18">
        <f>D73+D76</f>
        <v>1147</v>
      </c>
      <c r="E72" s="18">
        <f>E73+E76</f>
        <v>53</v>
      </c>
      <c r="F72" s="50">
        <f>F73+F76</f>
        <v>1276</v>
      </c>
      <c r="G72" s="42">
        <f t="shared" si="8"/>
        <v>3795</v>
      </c>
      <c r="H72" s="104">
        <f>H73+H76</f>
        <v>1658</v>
      </c>
      <c r="I72" s="47">
        <f>I73+I76</f>
        <v>644</v>
      </c>
      <c r="J72" s="118">
        <f>J73+J76</f>
        <v>145</v>
      </c>
    </row>
    <row r="73" spans="1:10" s="5" customFormat="1" ht="24.75" customHeight="1">
      <c r="A73" s="14"/>
      <c r="B73" s="34" t="s">
        <v>14</v>
      </c>
      <c r="C73" s="65">
        <f>C74+C75</f>
        <v>3010</v>
      </c>
      <c r="D73" s="20">
        <f>D74+D75</f>
        <v>2906</v>
      </c>
      <c r="E73" s="20">
        <f>E74+E75</f>
        <v>1941</v>
      </c>
      <c r="F73" s="57">
        <f>F74+F75</f>
        <v>3731</v>
      </c>
      <c r="G73" s="39">
        <f t="shared" si="8"/>
        <v>11588</v>
      </c>
      <c r="H73" s="97">
        <f>H74+H75</f>
        <v>3864</v>
      </c>
      <c r="I73" s="87">
        <f>I74+I75</f>
        <v>2349</v>
      </c>
      <c r="J73" s="108">
        <f>J74+J75</f>
        <v>1369</v>
      </c>
    </row>
    <row r="74" spans="1:10" s="5" customFormat="1" ht="24.75" customHeight="1">
      <c r="A74" s="14"/>
      <c r="B74" s="34" t="s">
        <v>38</v>
      </c>
      <c r="C74" s="66">
        <v>2974</v>
      </c>
      <c r="D74" s="21">
        <v>2765</v>
      </c>
      <c r="E74" s="21">
        <v>1804</v>
      </c>
      <c r="F74" s="71">
        <v>1538</v>
      </c>
      <c r="G74" s="40">
        <f t="shared" si="8"/>
        <v>9081</v>
      </c>
      <c r="H74" s="98">
        <v>3737</v>
      </c>
      <c r="I74" s="88">
        <v>2269</v>
      </c>
      <c r="J74" s="109">
        <v>1284</v>
      </c>
    </row>
    <row r="75" spans="1:10" s="5" customFormat="1" ht="24.75" customHeight="1">
      <c r="A75" s="14"/>
      <c r="B75" s="34" t="s">
        <v>39</v>
      </c>
      <c r="C75" s="65">
        <v>36</v>
      </c>
      <c r="D75" s="20">
        <v>141</v>
      </c>
      <c r="E75" s="20">
        <v>137</v>
      </c>
      <c r="F75" s="57">
        <v>2193</v>
      </c>
      <c r="G75" s="39">
        <f t="shared" si="8"/>
        <v>2507</v>
      </c>
      <c r="H75" s="97">
        <v>127</v>
      </c>
      <c r="I75" s="87">
        <v>80</v>
      </c>
      <c r="J75" s="108">
        <v>85</v>
      </c>
    </row>
    <row r="76" spans="1:10" s="5" customFormat="1" ht="24.75" customHeight="1">
      <c r="A76" s="14"/>
      <c r="B76" s="34" t="s">
        <v>25</v>
      </c>
      <c r="C76" s="65">
        <f>C77+C78</f>
        <v>-1691</v>
      </c>
      <c r="D76" s="20">
        <f>D77+D78</f>
        <v>-1759</v>
      </c>
      <c r="E76" s="20">
        <f>E77+E78</f>
        <v>-1888</v>
      </c>
      <c r="F76" s="57">
        <f>F77+F78</f>
        <v>-2455</v>
      </c>
      <c r="G76" s="39">
        <f t="shared" si="8"/>
        <v>-7793</v>
      </c>
      <c r="H76" s="97">
        <f>H77+H78</f>
        <v>-2206</v>
      </c>
      <c r="I76" s="87">
        <v>-1705</v>
      </c>
      <c r="J76" s="108">
        <f>J77+J78</f>
        <v>-1224</v>
      </c>
    </row>
    <row r="77" spans="1:10" s="5" customFormat="1" ht="24.75" customHeight="1">
      <c r="A77" s="14"/>
      <c r="B77" s="34" t="s">
        <v>38</v>
      </c>
      <c r="C77" s="66">
        <v>-1681</v>
      </c>
      <c r="D77" s="21">
        <v>-1751</v>
      </c>
      <c r="E77" s="21">
        <v>-1879</v>
      </c>
      <c r="F77" s="71">
        <v>-2438</v>
      </c>
      <c r="G77" s="40">
        <f t="shared" si="8"/>
        <v>-7749</v>
      </c>
      <c r="H77" s="66">
        <v>-2198</v>
      </c>
      <c r="I77" s="71">
        <f>I76-I78</f>
        <v>-1702</v>
      </c>
      <c r="J77" s="109">
        <v>-1220</v>
      </c>
    </row>
    <row r="78" spans="1:10" s="5" customFormat="1" ht="24.75" customHeight="1">
      <c r="A78" s="14"/>
      <c r="B78" s="34" t="s">
        <v>39</v>
      </c>
      <c r="C78" s="65">
        <v>-10</v>
      </c>
      <c r="D78" s="20">
        <v>-8</v>
      </c>
      <c r="E78" s="20">
        <v>-9</v>
      </c>
      <c r="F78" s="57">
        <v>-17</v>
      </c>
      <c r="G78" s="39">
        <f t="shared" si="8"/>
        <v>-44</v>
      </c>
      <c r="H78" s="97">
        <v>-8</v>
      </c>
      <c r="I78" s="87">
        <v>-3</v>
      </c>
      <c r="J78" s="108">
        <v>-4</v>
      </c>
    </row>
    <row r="79" spans="1:10" s="5" customFormat="1" ht="24.75" customHeight="1">
      <c r="A79" s="14" t="s">
        <v>40</v>
      </c>
      <c r="B79" s="33" t="s">
        <v>41</v>
      </c>
      <c r="C79" s="70">
        <f aca="true" t="shared" si="9" ref="C79:I79">C80+C82</f>
        <v>2942.775</v>
      </c>
      <c r="D79" s="24">
        <f t="shared" si="9"/>
        <v>7766.654999999999</v>
      </c>
      <c r="E79" s="24">
        <f t="shared" si="9"/>
        <v>15450.375</v>
      </c>
      <c r="F79" s="75">
        <f t="shared" si="9"/>
        <v>8316.75</v>
      </c>
      <c r="G79" s="43">
        <f t="shared" si="9"/>
        <v>34476.555</v>
      </c>
      <c r="H79" s="101">
        <f t="shared" si="9"/>
        <v>5557</v>
      </c>
      <c r="I79" s="90">
        <f t="shared" si="9"/>
        <v>10099.389999999985</v>
      </c>
      <c r="J79" s="117">
        <f>J80+J82</f>
        <v>8763.948072785046</v>
      </c>
    </row>
    <row r="80" spans="1:10" s="5" customFormat="1" ht="24.75" customHeight="1">
      <c r="A80" s="14" t="s">
        <v>42</v>
      </c>
      <c r="B80" s="33" t="s">
        <v>43</v>
      </c>
      <c r="C80" s="70">
        <f>C81</f>
        <v>-9</v>
      </c>
      <c r="D80" s="24">
        <f>D81</f>
        <v>-16</v>
      </c>
      <c r="E80" s="24">
        <f>E81</f>
        <v>-17</v>
      </c>
      <c r="F80" s="75">
        <f>F81</f>
        <v>-11</v>
      </c>
      <c r="G80" s="43">
        <f t="shared" si="8"/>
        <v>-53</v>
      </c>
      <c r="H80" s="101">
        <f>H81</f>
        <v>-40</v>
      </c>
      <c r="I80" s="24">
        <f>I81</f>
        <v>-73</v>
      </c>
      <c r="J80" s="117">
        <f>J81</f>
        <v>-45</v>
      </c>
    </row>
    <row r="81" spans="1:10" s="9" customFormat="1" ht="24.75" customHeight="1">
      <c r="A81" s="15"/>
      <c r="B81" s="35" t="s">
        <v>44</v>
      </c>
      <c r="C81" s="68">
        <v>-9</v>
      </c>
      <c r="D81" s="22">
        <v>-16</v>
      </c>
      <c r="E81" s="22">
        <v>-17</v>
      </c>
      <c r="F81" s="73">
        <v>-11</v>
      </c>
      <c r="G81" s="41">
        <f t="shared" si="8"/>
        <v>-53</v>
      </c>
      <c r="H81" s="99">
        <v>-40</v>
      </c>
      <c r="I81" s="89">
        <v>-73</v>
      </c>
      <c r="J81" s="110">
        <v>-45</v>
      </c>
    </row>
    <row r="82" spans="1:10" s="5" customFormat="1" ht="24.75" customHeight="1">
      <c r="A82" s="14" t="s">
        <v>45</v>
      </c>
      <c r="B82" s="33" t="s">
        <v>68</v>
      </c>
      <c r="C82" s="70">
        <f>C83+C88+C99+C114</f>
        <v>2951.775</v>
      </c>
      <c r="D82" s="24">
        <f>D83+D88+D99+D114</f>
        <v>7782.654999999999</v>
      </c>
      <c r="E82" s="24">
        <f>E83+E88+E99+E114</f>
        <v>15467.375</v>
      </c>
      <c r="F82" s="75">
        <f>F83+F88+F99+F114</f>
        <v>8327.75</v>
      </c>
      <c r="G82" s="43">
        <f t="shared" si="8"/>
        <v>34529.555</v>
      </c>
      <c r="H82" s="101">
        <f>H83+H88+H99+H114</f>
        <v>5597</v>
      </c>
      <c r="I82" s="90">
        <f>I83+I88+I99+I114</f>
        <v>10172.389999999985</v>
      </c>
      <c r="J82" s="117">
        <f>J83+J88+J99+J114</f>
        <v>8808.948072785046</v>
      </c>
    </row>
    <row r="83" spans="1:10" s="6" customFormat="1" ht="24.75" customHeight="1">
      <c r="A83" s="14"/>
      <c r="B83" s="33" t="s">
        <v>46</v>
      </c>
      <c r="C83" s="70">
        <f>C84+C86</f>
        <v>62834.75</v>
      </c>
      <c r="D83" s="24">
        <f>D84+D86</f>
        <v>104623.875</v>
      </c>
      <c r="E83" s="24">
        <f>E84+E86</f>
        <v>78836.25</v>
      </c>
      <c r="F83" s="75">
        <f>F84+F86</f>
        <v>138195.125</v>
      </c>
      <c r="G83" s="43">
        <f t="shared" si="8"/>
        <v>384490</v>
      </c>
      <c r="H83" s="101">
        <f>H84+H86</f>
        <v>141080</v>
      </c>
      <c r="I83" s="90">
        <f>I84+I86</f>
        <v>71885</v>
      </c>
      <c r="J83" s="117">
        <f>J84+J86</f>
        <v>129666</v>
      </c>
    </row>
    <row r="84" spans="1:10" s="5" customFormat="1" ht="24.75" customHeight="1">
      <c r="A84" s="14"/>
      <c r="B84" s="34" t="s">
        <v>47</v>
      </c>
      <c r="C84" s="67">
        <f>-572+C85</f>
        <v>-98138.75</v>
      </c>
      <c r="D84" s="61">
        <f>-559+D85</f>
        <v>-112065.625</v>
      </c>
      <c r="E84" s="61">
        <f>-950+E85</f>
        <v>-203054</v>
      </c>
      <c r="F84" s="72">
        <f>-461+F85</f>
        <v>-286195.25</v>
      </c>
      <c r="G84" s="80">
        <f t="shared" si="8"/>
        <v>-699453.625</v>
      </c>
      <c r="H84" s="102">
        <f>-656+H85</f>
        <v>-210571</v>
      </c>
      <c r="I84" s="91">
        <f>-646+I85</f>
        <v>-177527</v>
      </c>
      <c r="J84" s="112">
        <f>-551+J85</f>
        <v>-136390</v>
      </c>
    </row>
    <row r="85" spans="1:12" s="9" customFormat="1" ht="24.75" customHeight="1">
      <c r="A85" s="15"/>
      <c r="B85" s="35" t="s">
        <v>75</v>
      </c>
      <c r="C85" s="77">
        <f>9/8*-86726</f>
        <v>-97566.75</v>
      </c>
      <c r="D85" s="29">
        <f>9/8*-99117</f>
        <v>-111506.625</v>
      </c>
      <c r="E85" s="29">
        <f>9/8*-179648</f>
        <v>-202104</v>
      </c>
      <c r="F85" s="79">
        <f>9/8*-253986</f>
        <v>-285734.25</v>
      </c>
      <c r="G85" s="60">
        <f t="shared" si="8"/>
        <v>-696911.625</v>
      </c>
      <c r="H85" s="100">
        <v>-209915</v>
      </c>
      <c r="I85" s="92">
        <v>-176881</v>
      </c>
      <c r="J85" s="111">
        <v>-135839</v>
      </c>
      <c r="L85" s="139"/>
    </row>
    <row r="86" spans="1:10" s="5" customFormat="1" ht="24.75" customHeight="1">
      <c r="A86" s="14"/>
      <c r="B86" s="34" t="s">
        <v>48</v>
      </c>
      <c r="C86" s="66">
        <f>1720+C87</f>
        <v>160973.5</v>
      </c>
      <c r="D86" s="21">
        <f>2616+D87</f>
        <v>216689.5</v>
      </c>
      <c r="E86" s="21">
        <f>2221+E87</f>
        <v>281890.25</v>
      </c>
      <c r="F86" s="71">
        <f>1291+F87</f>
        <v>424390.375</v>
      </c>
      <c r="G86" s="40">
        <f t="shared" si="8"/>
        <v>1083943.625</v>
      </c>
      <c r="H86" s="98">
        <f>1420+H87</f>
        <v>351651</v>
      </c>
      <c r="I86" s="88">
        <f>2007+I87</f>
        <v>249412</v>
      </c>
      <c r="J86" s="109">
        <f>1193+J87</f>
        <v>266056</v>
      </c>
    </row>
    <row r="87" spans="1:12" s="9" customFormat="1" ht="24.75" customHeight="1">
      <c r="A87" s="15"/>
      <c r="B87" s="35" t="s">
        <v>75</v>
      </c>
      <c r="C87" s="82">
        <f>(9/8*138892)+3000</f>
        <v>159253.5</v>
      </c>
      <c r="D87" s="83">
        <f>(9/8*158732)+35500</f>
        <v>214073.5</v>
      </c>
      <c r="E87" s="83">
        <f>(9/8*287706)-44000</f>
        <v>279669.25</v>
      </c>
      <c r="F87" s="84">
        <f>(9/8*406755)-34500</f>
        <v>423099.375</v>
      </c>
      <c r="G87" s="81">
        <f t="shared" si="8"/>
        <v>1076095.625</v>
      </c>
      <c r="H87" s="105">
        <v>350231</v>
      </c>
      <c r="I87" s="126">
        <v>247405</v>
      </c>
      <c r="J87" s="115">
        <v>264863</v>
      </c>
      <c r="L87" s="139"/>
    </row>
    <row r="88" spans="1:10" s="5" customFormat="1" ht="24.75" customHeight="1">
      <c r="A88" s="14"/>
      <c r="B88" s="33" t="s">
        <v>49</v>
      </c>
      <c r="C88" s="70">
        <f>C89+C94</f>
        <v>-44723</v>
      </c>
      <c r="D88" s="24">
        <f>D89+D94</f>
        <v>-48377.5</v>
      </c>
      <c r="E88" s="24">
        <f>E89+E94</f>
        <v>-87910.375</v>
      </c>
      <c r="F88" s="75">
        <f>F89+F94</f>
        <v>-127575.375</v>
      </c>
      <c r="G88" s="43">
        <f t="shared" si="8"/>
        <v>-308586.25</v>
      </c>
      <c r="H88" s="101">
        <f>H89+H94</f>
        <v>-89884</v>
      </c>
      <c r="I88" s="90">
        <f>I89+I94+1</f>
        <v>-96013.61000000002</v>
      </c>
      <c r="J88" s="117">
        <f>J89+J94</f>
        <v>-100959</v>
      </c>
    </row>
    <row r="89" spans="1:10" s="5" customFormat="1" ht="24.75" customHeight="1">
      <c r="A89" s="14"/>
      <c r="B89" s="33" t="s">
        <v>50</v>
      </c>
      <c r="C89" s="70">
        <f>C90+C92</f>
        <v>-76266.375</v>
      </c>
      <c r="D89" s="24">
        <f>D90+D92</f>
        <v>-93957.25</v>
      </c>
      <c r="E89" s="24">
        <f>E90+E92</f>
        <v>-168661.75</v>
      </c>
      <c r="F89" s="75">
        <f>F90+F92</f>
        <v>-237659.375</v>
      </c>
      <c r="G89" s="43">
        <f t="shared" si="8"/>
        <v>-576544.75</v>
      </c>
      <c r="H89" s="101">
        <f>H90+H92</f>
        <v>-179516</v>
      </c>
      <c r="I89" s="90">
        <f>I90+I92</f>
        <v>-186266.2</v>
      </c>
      <c r="J89" s="117">
        <f>J90+J92</f>
        <v>-183807</v>
      </c>
    </row>
    <row r="90" spans="1:10" s="5" customFormat="1" ht="24.75" customHeight="1">
      <c r="A90" s="14"/>
      <c r="B90" s="34" t="s">
        <v>51</v>
      </c>
      <c r="C90" s="67">
        <f>4863+C91</f>
        <v>-73257</v>
      </c>
      <c r="D90" s="61">
        <f>-1237+D91</f>
        <v>-90517</v>
      </c>
      <c r="E90" s="61">
        <f>-607+E91</f>
        <v>-162427</v>
      </c>
      <c r="F90" s="72">
        <f>-65+F91</f>
        <v>-228845</v>
      </c>
      <c r="G90" s="80">
        <f t="shared" si="8"/>
        <v>-555046</v>
      </c>
      <c r="H90" s="102">
        <f>-1228+H91</f>
        <v>-172828</v>
      </c>
      <c r="I90" s="91">
        <f>1537+I91</f>
        <v>-178927</v>
      </c>
      <c r="J90" s="112">
        <f>390+J91</f>
        <v>-176602</v>
      </c>
    </row>
    <row r="91" spans="1:10" s="9" customFormat="1" ht="24.75" customHeight="1">
      <c r="A91" s="15"/>
      <c r="B91" s="35" t="s">
        <v>75</v>
      </c>
      <c r="C91" s="77">
        <f>9/8*-69440</f>
        <v>-78120</v>
      </c>
      <c r="D91" s="29">
        <f>9/8*-79360</f>
        <v>-89280</v>
      </c>
      <c r="E91" s="29">
        <f>9/8*-143840</f>
        <v>-161820</v>
      </c>
      <c r="F91" s="79">
        <f>9/8*-203360</f>
        <v>-228780</v>
      </c>
      <c r="G91" s="60">
        <f t="shared" si="8"/>
        <v>-558000</v>
      </c>
      <c r="H91" s="100">
        <v>-171600</v>
      </c>
      <c r="I91" s="92">
        <v>-180464</v>
      </c>
      <c r="J91" s="111">
        <v>-176992</v>
      </c>
    </row>
    <row r="92" spans="1:10" s="5" customFormat="1" ht="24.75" customHeight="1">
      <c r="A92" s="14"/>
      <c r="B92" s="34" t="s">
        <v>52</v>
      </c>
      <c r="C92" s="67">
        <f>0+C93</f>
        <v>-3009.375</v>
      </c>
      <c r="D92" s="61">
        <f>0+D93</f>
        <v>-3440.25</v>
      </c>
      <c r="E92" s="61">
        <f>0+E93</f>
        <v>-6234.75</v>
      </c>
      <c r="F92" s="72">
        <f>0+F93</f>
        <v>-8814.375</v>
      </c>
      <c r="G92" s="80">
        <f t="shared" si="8"/>
        <v>-21498.75</v>
      </c>
      <c r="H92" s="102">
        <f>H93</f>
        <v>-6688</v>
      </c>
      <c r="I92" s="91">
        <f>0+I93</f>
        <v>-7339.2</v>
      </c>
      <c r="J92" s="112">
        <v>-7205</v>
      </c>
    </row>
    <row r="93" spans="1:10" s="9" customFormat="1" ht="24.75" customHeight="1">
      <c r="A93" s="15"/>
      <c r="B93" s="35" t="s">
        <v>75</v>
      </c>
      <c r="C93" s="77">
        <f>9/8*-2675</f>
        <v>-3009.375</v>
      </c>
      <c r="D93" s="29">
        <f>9/8*-3058</f>
        <v>-3440.25</v>
      </c>
      <c r="E93" s="29">
        <f>9/8*-5542</f>
        <v>-6234.75</v>
      </c>
      <c r="F93" s="79">
        <f>9/8*-7835</f>
        <v>-8814.375</v>
      </c>
      <c r="G93" s="60">
        <f t="shared" si="8"/>
        <v>-21498.75</v>
      </c>
      <c r="H93" s="100">
        <v>-6688</v>
      </c>
      <c r="I93" s="92">
        <v>-7339.2</v>
      </c>
      <c r="J93" s="111">
        <v>-7205</v>
      </c>
    </row>
    <row r="94" spans="1:10" s="5" customFormat="1" ht="24.75" customHeight="1">
      <c r="A94" s="14"/>
      <c r="B94" s="33" t="s">
        <v>53</v>
      </c>
      <c r="C94" s="70">
        <f>C95+C97</f>
        <v>31543.375</v>
      </c>
      <c r="D94" s="24">
        <f>D95+D97</f>
        <v>45579.75</v>
      </c>
      <c r="E94" s="24">
        <f>E95+E97</f>
        <v>80751.375</v>
      </c>
      <c r="F94" s="75">
        <f>F95+F97</f>
        <v>110084</v>
      </c>
      <c r="G94" s="43">
        <f t="shared" si="8"/>
        <v>267958.5</v>
      </c>
      <c r="H94" s="101">
        <f>H95+H97</f>
        <v>89632</v>
      </c>
      <c r="I94" s="90">
        <f>I95+I97</f>
        <v>90251.59</v>
      </c>
      <c r="J94" s="117">
        <f>J95+J97</f>
        <v>82848</v>
      </c>
    </row>
    <row r="95" spans="1:10" s="5" customFormat="1" ht="24.75" customHeight="1">
      <c r="A95" s="14"/>
      <c r="B95" s="34" t="s">
        <v>51</v>
      </c>
      <c r="C95" s="67">
        <f>-6089+C96</f>
        <v>31794.25</v>
      </c>
      <c r="D95" s="61">
        <f>2619+D96</f>
        <v>45912.375</v>
      </c>
      <c r="E95" s="61">
        <f>2685+E96</f>
        <v>81157.125</v>
      </c>
      <c r="F95" s="72">
        <f>-353+F96</f>
        <v>110590</v>
      </c>
      <c r="G95" s="80">
        <f t="shared" si="8"/>
        <v>269453.75</v>
      </c>
      <c r="H95" s="102">
        <f>621+H96</f>
        <v>89806</v>
      </c>
      <c r="I95" s="91">
        <f>176+I96</f>
        <v>88687.59</v>
      </c>
      <c r="J95" s="112">
        <f>J96+2020</f>
        <v>83748</v>
      </c>
    </row>
    <row r="96" spans="1:10" s="9" customFormat="1" ht="24.75" customHeight="1">
      <c r="A96" s="15"/>
      <c r="B96" s="35" t="s">
        <v>75</v>
      </c>
      <c r="C96" s="77">
        <f>9/8*33674</f>
        <v>37883.25</v>
      </c>
      <c r="D96" s="29">
        <f>9/8*38483</f>
        <v>43293.375</v>
      </c>
      <c r="E96" s="29">
        <f>9/8*69753</f>
        <v>78472.125</v>
      </c>
      <c r="F96" s="79">
        <f>9/8*98616</f>
        <v>110943</v>
      </c>
      <c r="G96" s="60">
        <f t="shared" si="8"/>
        <v>270591.75</v>
      </c>
      <c r="H96" s="100">
        <v>89185</v>
      </c>
      <c r="I96" s="92">
        <v>88511.59</v>
      </c>
      <c r="J96" s="111">
        <v>81728</v>
      </c>
    </row>
    <row r="97" spans="1:10" s="5" customFormat="1" ht="24.75" customHeight="1">
      <c r="A97" s="14"/>
      <c r="B97" s="34" t="s">
        <v>52</v>
      </c>
      <c r="C97" s="67">
        <f>-18+C98</f>
        <v>-250.875</v>
      </c>
      <c r="D97" s="61">
        <f>-66+D98</f>
        <v>-332.625</v>
      </c>
      <c r="E97" s="61">
        <f>78+E98</f>
        <v>-405.75</v>
      </c>
      <c r="F97" s="72">
        <f>178+F98</f>
        <v>-506</v>
      </c>
      <c r="G97" s="80">
        <f t="shared" si="8"/>
        <v>-1495.25</v>
      </c>
      <c r="H97" s="102">
        <f>60+H98</f>
        <v>-174</v>
      </c>
      <c r="I97" s="91">
        <v>1564</v>
      </c>
      <c r="J97" s="112">
        <f>-427+J98</f>
        <v>-900</v>
      </c>
    </row>
    <row r="98" spans="1:10" s="9" customFormat="1" ht="24.75" customHeight="1">
      <c r="A98" s="15"/>
      <c r="B98" s="35" t="s">
        <v>75</v>
      </c>
      <c r="C98" s="77">
        <f>9/8*-207</f>
        <v>-232.875</v>
      </c>
      <c r="D98" s="29">
        <f>9/8*-237</f>
        <v>-266.625</v>
      </c>
      <c r="E98" s="29">
        <f>9/8*-430</f>
        <v>-483.75</v>
      </c>
      <c r="F98" s="79">
        <f>9/8*-608</f>
        <v>-684</v>
      </c>
      <c r="G98" s="60">
        <f t="shared" si="8"/>
        <v>-1667.25</v>
      </c>
      <c r="H98" s="100">
        <v>-234</v>
      </c>
      <c r="I98" s="92">
        <v>-545.0999999999999</v>
      </c>
      <c r="J98" s="111">
        <v>-473</v>
      </c>
    </row>
    <row r="99" spans="1:10" s="5" customFormat="1" ht="24.75" customHeight="1">
      <c r="A99" s="14"/>
      <c r="B99" s="33" t="s">
        <v>54</v>
      </c>
      <c r="C99" s="70">
        <f>C100+C107</f>
        <v>-13363.125</v>
      </c>
      <c r="D99" s="24">
        <f>D100+D107</f>
        <v>-46349.72</v>
      </c>
      <c r="E99" s="24">
        <f>E100+E107</f>
        <v>24317.5</v>
      </c>
      <c r="F99" s="75">
        <f>F100+F107</f>
        <v>-732</v>
      </c>
      <c r="G99" s="43">
        <f t="shared" si="8"/>
        <v>-36127.345</v>
      </c>
      <c r="H99" s="101">
        <f>H100+H107</f>
        <v>-47213</v>
      </c>
      <c r="I99" s="90">
        <f>I100+I107</f>
        <v>37271</v>
      </c>
      <c r="J99" s="117">
        <f>J100+J107</f>
        <v>-18793.051927214954</v>
      </c>
    </row>
    <row r="100" spans="1:10" s="5" customFormat="1" ht="24.75" customHeight="1">
      <c r="A100" s="14"/>
      <c r="B100" s="33" t="s">
        <v>55</v>
      </c>
      <c r="C100" s="70">
        <f>C101+C102+C103+C104+C106</f>
        <v>-38422</v>
      </c>
      <c r="D100" s="24">
        <f>D101+D102+D103+D104+D106</f>
        <v>-54084.97</v>
      </c>
      <c r="E100" s="24">
        <f>E101+E102+E103+E104+E106</f>
        <v>-27163.5</v>
      </c>
      <c r="F100" s="75">
        <f>F101+F102+F103+F104+F106</f>
        <v>2733.375</v>
      </c>
      <c r="G100" s="43">
        <f t="shared" si="8"/>
        <v>-116937.095</v>
      </c>
      <c r="H100" s="101">
        <f>H101+H102+H103+H104+H106</f>
        <v>-84334</v>
      </c>
      <c r="I100" s="90">
        <f>I101+I102+I103+I104+I106</f>
        <v>8548</v>
      </c>
      <c r="J100" s="117">
        <f>J101+J102+J103+J104+J106</f>
        <v>-6538.951202661825</v>
      </c>
    </row>
    <row r="101" spans="1:10" s="5" customFormat="1" ht="24.75" customHeight="1">
      <c r="A101" s="14"/>
      <c r="B101" s="34" t="s">
        <v>56</v>
      </c>
      <c r="C101" s="65">
        <v>0</v>
      </c>
      <c r="D101" s="20">
        <v>0</v>
      </c>
      <c r="E101" s="20">
        <v>0</v>
      </c>
      <c r="F101" s="57">
        <v>0</v>
      </c>
      <c r="G101" s="39">
        <f t="shared" si="8"/>
        <v>0</v>
      </c>
      <c r="H101" s="97">
        <v>0</v>
      </c>
      <c r="I101" s="87">
        <v>0</v>
      </c>
      <c r="J101" s="108">
        <v>0</v>
      </c>
    </row>
    <row r="102" spans="1:10" s="5" customFormat="1" ht="24.75" customHeight="1">
      <c r="A102" s="14"/>
      <c r="B102" s="34" t="s">
        <v>70</v>
      </c>
      <c r="C102" s="65">
        <v>0</v>
      </c>
      <c r="D102" s="20">
        <v>0</v>
      </c>
      <c r="E102" s="20">
        <v>0</v>
      </c>
      <c r="F102" s="57">
        <v>0</v>
      </c>
      <c r="G102" s="39">
        <f t="shared" si="8"/>
        <v>0</v>
      </c>
      <c r="H102" s="97">
        <v>0</v>
      </c>
      <c r="I102" s="87">
        <v>0</v>
      </c>
      <c r="J102" s="108">
        <v>0</v>
      </c>
    </row>
    <row r="103" spans="1:10" s="5" customFormat="1" ht="24.75" customHeight="1">
      <c r="A103" s="14"/>
      <c r="B103" s="34" t="s">
        <v>57</v>
      </c>
      <c r="C103" s="69">
        <v>-37662</v>
      </c>
      <c r="D103" s="23">
        <v>-52583</v>
      </c>
      <c r="E103" s="23">
        <v>-24381</v>
      </c>
      <c r="F103" s="74">
        <v>6808</v>
      </c>
      <c r="G103" s="44">
        <f t="shared" si="8"/>
        <v>-107818</v>
      </c>
      <c r="H103" s="119">
        <v>-81321</v>
      </c>
      <c r="I103" s="127">
        <v>14025</v>
      </c>
      <c r="J103" s="129">
        <v>-2584.9512026618254</v>
      </c>
    </row>
    <row r="104" spans="1:10" s="5" customFormat="1" ht="24.75" customHeight="1">
      <c r="A104" s="14"/>
      <c r="B104" s="34" t="s">
        <v>58</v>
      </c>
      <c r="C104" s="67">
        <f>0+C105</f>
        <v>-1314</v>
      </c>
      <c r="D104" s="61">
        <f>0+D105</f>
        <v>-1501.875</v>
      </c>
      <c r="E104" s="61">
        <f>0+E105</f>
        <v>-2722.5</v>
      </c>
      <c r="F104" s="72">
        <f>0+F105</f>
        <v>-3848.625</v>
      </c>
      <c r="G104" s="80">
        <f t="shared" si="8"/>
        <v>-9387</v>
      </c>
      <c r="H104" s="102">
        <f>H105</f>
        <v>-2920</v>
      </c>
      <c r="I104" s="91">
        <f>I105</f>
        <v>-5833</v>
      </c>
      <c r="J104" s="112">
        <f>0+J105</f>
        <v>-4827</v>
      </c>
    </row>
    <row r="105" spans="1:10" s="9" customFormat="1" ht="24.75" customHeight="1">
      <c r="A105" s="15"/>
      <c r="B105" s="35" t="s">
        <v>75</v>
      </c>
      <c r="C105" s="77">
        <f>9/8*-1168</f>
        <v>-1314</v>
      </c>
      <c r="D105" s="29">
        <f>9/8*-1335</f>
        <v>-1501.875</v>
      </c>
      <c r="E105" s="29">
        <f>9/8*-2420</f>
        <v>-2722.5</v>
      </c>
      <c r="F105" s="79">
        <f>9/8*-3421</f>
        <v>-3848.625</v>
      </c>
      <c r="G105" s="60">
        <f t="shared" si="8"/>
        <v>-9387</v>
      </c>
      <c r="H105" s="100">
        <v>-2920</v>
      </c>
      <c r="I105" s="92">
        <v>-5833</v>
      </c>
      <c r="J105" s="111">
        <v>-4827</v>
      </c>
    </row>
    <row r="106" spans="1:10" s="5" customFormat="1" ht="24.75" customHeight="1">
      <c r="A106" s="14"/>
      <c r="B106" s="34" t="s">
        <v>59</v>
      </c>
      <c r="C106" s="65">
        <v>554</v>
      </c>
      <c r="D106" s="20">
        <v>-0.095</v>
      </c>
      <c r="E106" s="20">
        <v>-60</v>
      </c>
      <c r="F106" s="57">
        <v>-226</v>
      </c>
      <c r="G106" s="39">
        <f t="shared" si="8"/>
        <v>267.905</v>
      </c>
      <c r="H106" s="97">
        <v>-93</v>
      </c>
      <c r="I106" s="87">
        <v>356</v>
      </c>
      <c r="J106" s="108">
        <v>873</v>
      </c>
    </row>
    <row r="107" spans="1:10" s="5" customFormat="1" ht="24.75" customHeight="1">
      <c r="A107" s="14"/>
      <c r="B107" s="33" t="s">
        <v>53</v>
      </c>
      <c r="C107" s="70">
        <f>C108+C109+C110+C111+C113</f>
        <v>25058.875</v>
      </c>
      <c r="D107" s="24">
        <f>D108+D109+D110+D111+D113</f>
        <v>7735.25</v>
      </c>
      <c r="E107" s="24">
        <f>E108+E109+E110+E111+E113</f>
        <v>51481</v>
      </c>
      <c r="F107" s="75">
        <f>F108+F109+F110+F111+F113</f>
        <v>-3465.375</v>
      </c>
      <c r="G107" s="43">
        <f t="shared" si="8"/>
        <v>80809.75</v>
      </c>
      <c r="H107" s="101">
        <f>H108+H109+H110+H111+H113</f>
        <v>37121</v>
      </c>
      <c r="I107" s="90">
        <f>I108+I109+I110+I111+I113</f>
        <v>28723</v>
      </c>
      <c r="J107" s="117">
        <f>J108+J109+J110+J111+J113</f>
        <v>-12254.100724553131</v>
      </c>
    </row>
    <row r="108" spans="1:10" s="5" customFormat="1" ht="24.75" customHeight="1">
      <c r="A108" s="14"/>
      <c r="B108" s="34" t="s">
        <v>56</v>
      </c>
      <c r="C108" s="65">
        <v>3723</v>
      </c>
      <c r="D108" s="20">
        <v>23</v>
      </c>
      <c r="E108" s="20">
        <v>1424</v>
      </c>
      <c r="F108" s="57">
        <v>282</v>
      </c>
      <c r="G108" s="39">
        <f t="shared" si="8"/>
        <v>5452</v>
      </c>
      <c r="H108" s="97">
        <v>76</v>
      </c>
      <c r="I108" s="87">
        <v>562</v>
      </c>
      <c r="J108" s="108">
        <v>1599</v>
      </c>
    </row>
    <row r="109" spans="1:10" s="5" customFormat="1" ht="24.75" customHeight="1">
      <c r="A109" s="14"/>
      <c r="B109" s="34" t="s">
        <v>70</v>
      </c>
      <c r="C109" s="65">
        <v>0</v>
      </c>
      <c r="D109" s="20">
        <v>0</v>
      </c>
      <c r="E109" s="20">
        <v>0</v>
      </c>
      <c r="F109" s="57">
        <v>0</v>
      </c>
      <c r="G109" s="39">
        <f t="shared" si="8"/>
        <v>0</v>
      </c>
      <c r="H109" s="97">
        <v>0</v>
      </c>
      <c r="I109" s="87">
        <v>0</v>
      </c>
      <c r="J109" s="108">
        <v>0</v>
      </c>
    </row>
    <row r="110" spans="1:10" s="5" customFormat="1" ht="24.75" customHeight="1">
      <c r="A110" s="14"/>
      <c r="B110" s="34" t="s">
        <v>57</v>
      </c>
      <c r="C110" s="65">
        <v>25441</v>
      </c>
      <c r="D110" s="20">
        <v>11333</v>
      </c>
      <c r="E110" s="20">
        <v>57927</v>
      </c>
      <c r="F110" s="57">
        <v>5206</v>
      </c>
      <c r="G110" s="39">
        <f t="shared" si="8"/>
        <v>99907</v>
      </c>
      <c r="H110" s="102">
        <v>47592</v>
      </c>
      <c r="I110" s="91">
        <v>31011</v>
      </c>
      <c r="J110" s="112">
        <v>-10604.100724553131</v>
      </c>
    </row>
    <row r="111" spans="1:10" s="5" customFormat="1" ht="24.75" customHeight="1">
      <c r="A111" s="14"/>
      <c r="B111" s="34" t="s">
        <v>58</v>
      </c>
      <c r="C111" s="67">
        <f>88+C112</f>
        <v>-4683.125</v>
      </c>
      <c r="D111" s="61">
        <f>637+D112</f>
        <v>-4814.75</v>
      </c>
      <c r="E111" s="61">
        <f>-217+E112</f>
        <v>-10099</v>
      </c>
      <c r="F111" s="72">
        <f>2999+F112</f>
        <v>-10972.375</v>
      </c>
      <c r="G111" s="80">
        <f t="shared" si="8"/>
        <v>-30569.25</v>
      </c>
      <c r="H111" s="102">
        <f>-986+H112</f>
        <v>-11586</v>
      </c>
      <c r="I111" s="91">
        <f>-796+I112</f>
        <v>-4796</v>
      </c>
      <c r="J111" s="112">
        <f>204+J112</f>
        <v>-4796</v>
      </c>
    </row>
    <row r="112" spans="1:10" s="9" customFormat="1" ht="24.75" customHeight="1">
      <c r="A112" s="15"/>
      <c r="B112" s="35" t="s">
        <v>75</v>
      </c>
      <c r="C112" s="77">
        <f>9/8*-4241</f>
        <v>-4771.125</v>
      </c>
      <c r="D112" s="29">
        <f>9/8*-4846</f>
        <v>-5451.75</v>
      </c>
      <c r="E112" s="29">
        <f>9/8*-8784</f>
        <v>-9882</v>
      </c>
      <c r="F112" s="79">
        <f>9/8*-12419</f>
        <v>-13971.375</v>
      </c>
      <c r="G112" s="60">
        <f t="shared" si="8"/>
        <v>-34076.25</v>
      </c>
      <c r="H112" s="100">
        <v>-10600</v>
      </c>
      <c r="I112" s="92">
        <v>-4000</v>
      </c>
      <c r="J112" s="111">
        <v>-5000</v>
      </c>
    </row>
    <row r="113" spans="1:10" s="5" customFormat="1" ht="24.75" customHeight="1">
      <c r="A113" s="14"/>
      <c r="B113" s="34" t="s">
        <v>59</v>
      </c>
      <c r="C113" s="65">
        <v>578</v>
      </c>
      <c r="D113" s="20">
        <v>1194</v>
      </c>
      <c r="E113" s="20">
        <v>2229</v>
      </c>
      <c r="F113" s="57">
        <v>2019</v>
      </c>
      <c r="G113" s="39">
        <f t="shared" si="8"/>
        <v>6020</v>
      </c>
      <c r="H113" s="97">
        <v>1039</v>
      </c>
      <c r="I113" s="87">
        <v>1946</v>
      </c>
      <c r="J113" s="108">
        <v>1547</v>
      </c>
    </row>
    <row r="114" spans="1:10" s="5" customFormat="1" ht="24.75" customHeight="1">
      <c r="A114" s="14"/>
      <c r="B114" s="33" t="s">
        <v>60</v>
      </c>
      <c r="C114" s="70">
        <f>C115+C116+C117+C118+C119</f>
        <v>-1796.85</v>
      </c>
      <c r="D114" s="24">
        <f>D115+D116+D117+D118+D119</f>
        <v>-2114</v>
      </c>
      <c r="E114" s="24">
        <f>E115+E116+E117+E118+E119</f>
        <v>224</v>
      </c>
      <c r="F114" s="75">
        <f>F115+F116+F117+F118+F119</f>
        <v>-1560</v>
      </c>
      <c r="G114" s="43">
        <f t="shared" si="8"/>
        <v>-5246.85</v>
      </c>
      <c r="H114" s="101">
        <f>H115+H116+H117+H118+H119</f>
        <v>1614</v>
      </c>
      <c r="I114" s="90">
        <f>I115+I116+I117+I118+I119</f>
        <v>-2970</v>
      </c>
      <c r="J114" s="117">
        <f>J115+J116+J117+J118+J119</f>
        <v>-1105</v>
      </c>
    </row>
    <row r="115" spans="1:10" s="5" customFormat="1" ht="24.75" customHeight="1">
      <c r="A115" s="14"/>
      <c r="B115" s="34" t="s">
        <v>61</v>
      </c>
      <c r="C115" s="65">
        <v>0</v>
      </c>
      <c r="D115" s="20">
        <v>0</v>
      </c>
      <c r="E115" s="20">
        <v>0</v>
      </c>
      <c r="F115" s="57">
        <v>0</v>
      </c>
      <c r="G115" s="39">
        <f t="shared" si="8"/>
        <v>0</v>
      </c>
      <c r="H115" s="97">
        <v>0</v>
      </c>
      <c r="I115" s="87">
        <v>0</v>
      </c>
      <c r="J115" s="108">
        <v>0</v>
      </c>
    </row>
    <row r="116" spans="1:10" s="5" customFormat="1" ht="24.75" customHeight="1">
      <c r="A116" s="14"/>
      <c r="B116" s="34" t="s">
        <v>62</v>
      </c>
      <c r="C116" s="65">
        <v>-0.85</v>
      </c>
      <c r="D116" s="20">
        <v>312</v>
      </c>
      <c r="E116" s="20">
        <v>-3</v>
      </c>
      <c r="F116" s="57">
        <v>49</v>
      </c>
      <c r="G116" s="39">
        <f t="shared" si="8"/>
        <v>357.15</v>
      </c>
      <c r="H116" s="97">
        <v>21</v>
      </c>
      <c r="I116" s="87">
        <v>-176</v>
      </c>
      <c r="J116" s="108">
        <v>-8</v>
      </c>
    </row>
    <row r="117" spans="1:10" s="5" customFormat="1" ht="24.75" customHeight="1">
      <c r="A117" s="14"/>
      <c r="B117" s="34" t="s">
        <v>63</v>
      </c>
      <c r="C117" s="65">
        <v>-188</v>
      </c>
      <c r="D117" s="20">
        <v>-58</v>
      </c>
      <c r="E117" s="20">
        <v>-120</v>
      </c>
      <c r="F117" s="57">
        <v>-63</v>
      </c>
      <c r="G117" s="39">
        <f t="shared" si="8"/>
        <v>-429</v>
      </c>
      <c r="H117" s="97">
        <v>-40</v>
      </c>
      <c r="I117" s="87">
        <v>-56</v>
      </c>
      <c r="J117" s="108">
        <v>0</v>
      </c>
    </row>
    <row r="118" spans="1:10" s="5" customFormat="1" ht="24.75" customHeight="1">
      <c r="A118" s="14"/>
      <c r="B118" s="34" t="s">
        <v>64</v>
      </c>
      <c r="C118" s="65">
        <v>-1608</v>
      </c>
      <c r="D118" s="20">
        <v>-2368</v>
      </c>
      <c r="E118" s="20">
        <v>347</v>
      </c>
      <c r="F118" s="57">
        <v>-1546</v>
      </c>
      <c r="G118" s="39">
        <f t="shared" si="8"/>
        <v>-5175</v>
      </c>
      <c r="H118" s="97">
        <v>1633</v>
      </c>
      <c r="I118" s="87">
        <v>-2738</v>
      </c>
      <c r="J118" s="108">
        <v>-1097</v>
      </c>
    </row>
    <row r="119" spans="1:10" s="5" customFormat="1" ht="24.75" customHeight="1">
      <c r="A119" s="14"/>
      <c r="B119" s="34" t="s">
        <v>65</v>
      </c>
      <c r="C119" s="78">
        <v>0</v>
      </c>
      <c r="D119" s="30">
        <v>0</v>
      </c>
      <c r="E119" s="30">
        <v>0</v>
      </c>
      <c r="F119" s="28">
        <v>0</v>
      </c>
      <c r="G119" s="45">
        <f t="shared" si="8"/>
        <v>0</v>
      </c>
      <c r="H119" s="106">
        <v>0</v>
      </c>
      <c r="I119" s="128">
        <v>0</v>
      </c>
      <c r="J119" s="116">
        <v>0</v>
      </c>
    </row>
    <row r="120" spans="1:10" s="5" customFormat="1" ht="24.75" customHeight="1">
      <c r="A120" s="14" t="s">
        <v>66</v>
      </c>
      <c r="B120" s="33" t="s">
        <v>67</v>
      </c>
      <c r="C120" s="70">
        <f aca="true" t="shared" si="10" ref="C120:J120">-(C7+C79)</f>
        <v>1992.6</v>
      </c>
      <c r="D120" s="24">
        <f t="shared" si="10"/>
        <v>2600.845000000001</v>
      </c>
      <c r="E120" s="24">
        <f t="shared" si="10"/>
        <v>-2015.625</v>
      </c>
      <c r="F120" s="75">
        <f t="shared" si="10"/>
        <v>5819.25</v>
      </c>
      <c r="G120" s="43">
        <f t="shared" si="10"/>
        <v>8397.07</v>
      </c>
      <c r="H120" s="101">
        <f t="shared" si="10"/>
        <v>-1415</v>
      </c>
      <c r="I120" s="90">
        <f t="shared" si="10"/>
        <v>-1556.4699999999866</v>
      </c>
      <c r="J120" s="117">
        <f t="shared" si="10"/>
        <v>2119.422857422527</v>
      </c>
    </row>
    <row r="121" spans="1:10" s="5" customFormat="1" ht="7.5" customHeight="1" thickBot="1">
      <c r="A121" s="11"/>
      <c r="B121" s="37"/>
      <c r="C121" s="48"/>
      <c r="D121" s="25"/>
      <c r="E121" s="25"/>
      <c r="F121" s="51"/>
      <c r="G121" s="52"/>
      <c r="H121" s="48"/>
      <c r="I121" s="93"/>
      <c r="J121" s="113"/>
    </row>
    <row r="122" spans="1:3" s="3" customFormat="1" ht="32.25" customHeight="1">
      <c r="A122" s="55" t="s">
        <v>87</v>
      </c>
      <c r="B122" s="56"/>
      <c r="C122" s="55"/>
    </row>
    <row r="123" s="3" customFormat="1" ht="32.25" customHeight="1">
      <c r="A123" s="38" t="s">
        <v>73</v>
      </c>
    </row>
    <row r="124" ht="32.25" customHeight="1">
      <c r="A124" s="38" t="s">
        <v>74</v>
      </c>
    </row>
  </sheetData>
  <sheetProtection/>
  <mergeCells count="11">
    <mergeCell ref="C57:F57"/>
    <mergeCell ref="H4:J4"/>
    <mergeCell ref="H57:J57"/>
    <mergeCell ref="G4:G5"/>
    <mergeCell ref="A1:J2"/>
    <mergeCell ref="G57:G58"/>
    <mergeCell ref="B4:B5"/>
    <mergeCell ref="A4:A5"/>
    <mergeCell ref="B57:B58"/>
    <mergeCell ref="A57:A58"/>
    <mergeCell ref="C4:F4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40" r:id="rId1"/>
  <rowBreaks count="1" manualBreakCount="1">
    <brk id="55" max="9" man="1"/>
  </rowBreaks>
  <ignoredErrors>
    <ignoredError sqref="G12 G15 G19 G20:G21 G25 G28 G31:G32 G36 G39 G43 G49 G60 G66 G72:G73 G76 G79:G80 G82:G83 G88:G89 G94 G99:G100 G107 G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Satishingh Jugoo</cp:lastModifiedBy>
  <cp:lastPrinted>2012-12-13T06:00:58Z</cp:lastPrinted>
  <dcterms:created xsi:type="dcterms:W3CDTF">2009-12-10T04:21:29Z</dcterms:created>
  <dcterms:modified xsi:type="dcterms:W3CDTF">2012-12-13T06:08:04Z</dcterms:modified>
  <cp:category/>
  <cp:version/>
  <cp:contentType/>
  <cp:contentStatus/>
</cp:coreProperties>
</file>