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November 2015\"/>
    </mc:Choice>
  </mc:AlternateContent>
  <bookViews>
    <workbookView xWindow="240" yWindow="45" windowWidth="20700" windowHeight="10035"/>
  </bookViews>
  <sheets>
    <sheet name="51" sheetId="2" r:id="rId1"/>
  </sheets>
  <externalReferences>
    <externalReference r:id="rId2"/>
  </externalReferences>
  <definedNames>
    <definedName name="_xlnm.Database" localSheetId="0">'[1]Table-1'!#REF!</definedName>
    <definedName name="_xlnm.Database">'[1]Table-1'!#REF!</definedName>
    <definedName name="_xlnm.Print_Area" localSheetId="0">'51'!$A$1:$J$124</definedName>
    <definedName name="Print_Area_MI" localSheetId="0">#REF!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J114" i="2" l="1"/>
  <c r="J107" i="2"/>
  <c r="J100" i="2"/>
  <c r="J99" i="2" s="1"/>
  <c r="J94" i="2"/>
  <c r="J89" i="2"/>
  <c r="J88" i="2" s="1"/>
  <c r="J83" i="2"/>
  <c r="J80" i="2"/>
  <c r="J82" i="2" l="1"/>
  <c r="J79" i="2" s="1"/>
  <c r="J120" i="2" s="1"/>
  <c r="I52" i="2"/>
  <c r="I76" i="2"/>
  <c r="G7" i="2" l="1"/>
  <c r="G8" i="2"/>
  <c r="G6" i="2"/>
  <c r="J76" i="2" l="1"/>
  <c r="J69" i="2" l="1"/>
  <c r="J61" i="2"/>
  <c r="H52" i="2"/>
  <c r="H46" i="2"/>
  <c r="H80" i="2" l="1"/>
  <c r="H79" i="2" s="1"/>
  <c r="I80" i="2"/>
  <c r="I79" i="2"/>
  <c r="H82" i="2"/>
  <c r="I82" i="2"/>
  <c r="H83" i="2"/>
  <c r="I83" i="2"/>
  <c r="H89" i="2"/>
  <c r="H88" i="2" s="1"/>
  <c r="I89" i="2"/>
  <c r="I88" i="2" s="1"/>
  <c r="H94" i="2"/>
  <c r="I94" i="2"/>
  <c r="H100" i="2"/>
  <c r="H99" i="2" s="1"/>
  <c r="I100" i="2"/>
  <c r="I99" i="2" s="1"/>
  <c r="H114" i="2"/>
  <c r="I114" i="2"/>
  <c r="H107" i="2"/>
  <c r="I107" i="2"/>
  <c r="H76" i="2" l="1"/>
  <c r="J63" i="2"/>
  <c r="H63" i="2"/>
  <c r="G60" i="2" l="1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59" i="2"/>
  <c r="G9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J52" i="2"/>
  <c r="J46" i="2"/>
  <c r="J44" i="2"/>
  <c r="J75" i="2" l="1"/>
  <c r="J72" i="2"/>
  <c r="J65" i="2"/>
  <c r="J48" i="2"/>
  <c r="J38" i="2"/>
  <c r="J35" i="2"/>
  <c r="J31" i="2"/>
  <c r="J27" i="2"/>
  <c r="J19" i="2" s="1"/>
  <c r="J24" i="2"/>
  <c r="J20" i="2"/>
  <c r="J14" i="2"/>
  <c r="J11" i="2"/>
  <c r="J10" i="2"/>
  <c r="J9" i="2"/>
  <c r="J8" i="2" s="1"/>
  <c r="J71" i="2" l="1"/>
  <c r="J42" i="2"/>
  <c r="J30" i="2"/>
  <c r="J18" i="2"/>
  <c r="J59" i="2"/>
  <c r="J7" i="2"/>
  <c r="J41" i="2" l="1"/>
  <c r="J6" i="2" s="1"/>
  <c r="H20" i="2"/>
  <c r="H75" i="2"/>
  <c r="I10" i="2" l="1"/>
  <c r="I11" i="2"/>
  <c r="I72" i="2"/>
  <c r="H72" i="2"/>
  <c r="H71" i="2"/>
  <c r="I69" i="2"/>
  <c r="H69" i="2"/>
  <c r="I65" i="2"/>
  <c r="I59" i="2" s="1"/>
  <c r="H65" i="2"/>
  <c r="H59" i="2"/>
  <c r="I48" i="2"/>
  <c r="H48" i="2"/>
  <c r="C71" i="2"/>
  <c r="I63" i="2"/>
  <c r="I75" i="2" l="1"/>
  <c r="I71" i="2" s="1"/>
  <c r="I61" i="2"/>
  <c r="I46" i="2"/>
  <c r="I44" i="2"/>
  <c r="F76" i="2"/>
  <c r="E76" i="2"/>
  <c r="D76" i="2"/>
  <c r="C76" i="2"/>
  <c r="I38" i="2" l="1"/>
  <c r="I35" i="2"/>
  <c r="I31" i="2"/>
  <c r="I27" i="2"/>
  <c r="I24" i="2"/>
  <c r="I20" i="2"/>
  <c r="I14" i="2"/>
  <c r="I9" i="2"/>
  <c r="I8" i="2" s="1"/>
  <c r="I42" i="2" l="1"/>
  <c r="I30" i="2"/>
  <c r="I19" i="2"/>
  <c r="F26" i="2"/>
  <c r="I18" i="2" l="1"/>
  <c r="I7" i="2" s="1"/>
  <c r="I41" i="2"/>
  <c r="F114" i="2"/>
  <c r="E114" i="2"/>
  <c r="D114" i="2"/>
  <c r="C114" i="2"/>
  <c r="F111" i="2"/>
  <c r="F107" i="2" s="1"/>
  <c r="E111" i="2"/>
  <c r="D111" i="2"/>
  <c r="D107" i="2" s="1"/>
  <c r="C111" i="2"/>
  <c r="E107" i="2"/>
  <c r="C107" i="2"/>
  <c r="F104" i="2"/>
  <c r="F100" i="2" s="1"/>
  <c r="E104" i="2"/>
  <c r="E100" i="2" s="1"/>
  <c r="D104" i="2"/>
  <c r="D100" i="2" s="1"/>
  <c r="C104" i="2"/>
  <c r="C100" i="2" s="1"/>
  <c r="F97" i="2"/>
  <c r="E97" i="2"/>
  <c r="D97" i="2"/>
  <c r="C97" i="2"/>
  <c r="F95" i="2"/>
  <c r="E95" i="2"/>
  <c r="D95" i="2"/>
  <c r="C95" i="2"/>
  <c r="F92" i="2"/>
  <c r="E92" i="2"/>
  <c r="D92" i="2"/>
  <c r="C92" i="2"/>
  <c r="F90" i="2"/>
  <c r="E90" i="2"/>
  <c r="D90" i="2"/>
  <c r="C90" i="2"/>
  <c r="F86" i="2"/>
  <c r="E86" i="2"/>
  <c r="D86" i="2"/>
  <c r="C86" i="2"/>
  <c r="F84" i="2"/>
  <c r="E84" i="2"/>
  <c r="E83" i="2" s="1"/>
  <c r="D84" i="2"/>
  <c r="C84" i="2"/>
  <c r="F80" i="2"/>
  <c r="E80" i="2"/>
  <c r="D80" i="2"/>
  <c r="C80" i="2"/>
  <c r="F75" i="2"/>
  <c r="E75" i="2"/>
  <c r="D75" i="2"/>
  <c r="C75" i="2"/>
  <c r="F72" i="2"/>
  <c r="E72" i="2"/>
  <c r="D72" i="2"/>
  <c r="C72" i="2"/>
  <c r="F69" i="2"/>
  <c r="F65" i="2" s="1"/>
  <c r="E69" i="2"/>
  <c r="E65" i="2" s="1"/>
  <c r="D69" i="2"/>
  <c r="D65" i="2" s="1"/>
  <c r="C69" i="2"/>
  <c r="C65" i="2" s="1"/>
  <c r="F63" i="2"/>
  <c r="E63" i="2"/>
  <c r="D63" i="2"/>
  <c r="C63" i="2"/>
  <c r="H61" i="2"/>
  <c r="F61" i="2"/>
  <c r="E61" i="2"/>
  <c r="D61" i="2"/>
  <c r="C61" i="2"/>
  <c r="F52" i="2"/>
  <c r="F48" i="2" s="1"/>
  <c r="E52" i="2"/>
  <c r="D52" i="2"/>
  <c r="C52" i="2"/>
  <c r="C48" i="2" s="1"/>
  <c r="E48" i="2"/>
  <c r="D48" i="2"/>
  <c r="F46" i="2"/>
  <c r="E46" i="2"/>
  <c r="D46" i="2"/>
  <c r="C46" i="2"/>
  <c r="H44" i="2"/>
  <c r="F44" i="2"/>
  <c r="E44" i="2"/>
  <c r="E42" i="2" s="1"/>
  <c r="D44" i="2"/>
  <c r="C44" i="2"/>
  <c r="H38" i="2"/>
  <c r="F38" i="2"/>
  <c r="E38" i="2"/>
  <c r="D38" i="2"/>
  <c r="C38" i="2"/>
  <c r="H35" i="2"/>
  <c r="F35" i="2"/>
  <c r="E35" i="2"/>
  <c r="D35" i="2"/>
  <c r="C35" i="2"/>
  <c r="H31" i="2"/>
  <c r="F31" i="2"/>
  <c r="E31" i="2"/>
  <c r="D31" i="2"/>
  <c r="C31" i="2"/>
  <c r="H27" i="2"/>
  <c r="F27" i="2"/>
  <c r="E27" i="2"/>
  <c r="D27" i="2"/>
  <c r="C27" i="2"/>
  <c r="H24" i="2"/>
  <c r="F24" i="2"/>
  <c r="E24" i="2"/>
  <c r="D24" i="2"/>
  <c r="C24" i="2"/>
  <c r="F20" i="2"/>
  <c r="E20" i="2"/>
  <c r="D20" i="2"/>
  <c r="C20" i="2"/>
  <c r="H14" i="2"/>
  <c r="F14" i="2"/>
  <c r="E14" i="2"/>
  <c r="D14" i="2"/>
  <c r="C14" i="2"/>
  <c r="H11" i="2"/>
  <c r="F11" i="2"/>
  <c r="E11" i="2"/>
  <c r="D11" i="2"/>
  <c r="C11" i="2"/>
  <c r="H10" i="2"/>
  <c r="F10" i="2"/>
  <c r="E10" i="2"/>
  <c r="D10" i="2"/>
  <c r="C10" i="2"/>
  <c r="G10" i="2" s="1"/>
  <c r="H9" i="2"/>
  <c r="F9" i="2"/>
  <c r="E9" i="2"/>
  <c r="D9" i="2"/>
  <c r="C9" i="2"/>
  <c r="G11" i="2" l="1"/>
  <c r="I6" i="2"/>
  <c r="I120" i="2" s="1"/>
  <c r="E8" i="2"/>
  <c r="C19" i="2"/>
  <c r="C83" i="2"/>
  <c r="H19" i="2"/>
  <c r="F94" i="2"/>
  <c r="F88" i="2" s="1"/>
  <c r="F59" i="2"/>
  <c r="E19" i="2"/>
  <c r="D59" i="2"/>
  <c r="C94" i="2"/>
  <c r="C88" i="2" s="1"/>
  <c r="E94" i="2"/>
  <c r="E88" i="2" s="1"/>
  <c r="C59" i="2"/>
  <c r="D8" i="2"/>
  <c r="D42" i="2"/>
  <c r="D41" i="2" s="1"/>
  <c r="E59" i="2"/>
  <c r="E41" i="2" s="1"/>
  <c r="D94" i="2"/>
  <c r="D88" i="2" s="1"/>
  <c r="F42" i="2"/>
  <c r="C30" i="2"/>
  <c r="H8" i="2"/>
  <c r="D30" i="2"/>
  <c r="F30" i="2"/>
  <c r="D71" i="2"/>
  <c r="F99" i="2"/>
  <c r="C8" i="2"/>
  <c r="C42" i="2"/>
  <c r="F83" i="2"/>
  <c r="D19" i="2"/>
  <c r="H30" i="2"/>
  <c r="F71" i="2"/>
  <c r="F19" i="2"/>
  <c r="E30" i="2"/>
  <c r="E71" i="2"/>
  <c r="F8" i="2"/>
  <c r="D83" i="2"/>
  <c r="C99" i="2"/>
  <c r="E99" i="2"/>
  <c r="D99" i="2"/>
  <c r="H42" i="2"/>
  <c r="C18" i="2" l="1"/>
  <c r="E82" i="2"/>
  <c r="E79" i="2" s="1"/>
  <c r="H18" i="2"/>
  <c r="H7" i="2" s="1"/>
  <c r="C82" i="2"/>
  <c r="C79" i="2" s="1"/>
  <c r="H41" i="2"/>
  <c r="C41" i="2"/>
  <c r="E18" i="2"/>
  <c r="E7" i="2" s="1"/>
  <c r="E6" i="2" s="1"/>
  <c r="F41" i="2"/>
  <c r="F18" i="2"/>
  <c r="F7" i="2" s="1"/>
  <c r="F6" i="2" s="1"/>
  <c r="D18" i="2"/>
  <c r="D7" i="2" s="1"/>
  <c r="D6" i="2" s="1"/>
  <c r="F82" i="2"/>
  <c r="F79" i="2" s="1"/>
  <c r="C7" i="2"/>
  <c r="D82" i="2"/>
  <c r="D79" i="2" s="1"/>
  <c r="C6" i="2" l="1"/>
  <c r="H6" i="2"/>
  <c r="H120" i="2" s="1"/>
  <c r="E120" i="2"/>
  <c r="F120" i="2"/>
  <c r="D120" i="2"/>
  <c r="C120" i="2" l="1"/>
  <c r="G120" i="2" s="1"/>
</calcChain>
</file>

<file path=xl/sharedStrings.xml><?xml version="1.0" encoding="utf-8"?>
<sst xmlns="http://schemas.openxmlformats.org/spreadsheetml/2006/main" count="144" uniqueCount="91">
  <si>
    <t>(Rs million)</t>
  </si>
  <si>
    <t xml:space="preserve">1st
Quarter </t>
  </si>
  <si>
    <t xml:space="preserve">2nd Quarter </t>
  </si>
  <si>
    <t xml:space="preserve">3rd 
Quarter </t>
  </si>
  <si>
    <t>I.</t>
  </si>
  <si>
    <t>CURRENT ACCOUNT</t>
  </si>
  <si>
    <t>A.</t>
  </si>
  <si>
    <t>Goods and Services</t>
  </si>
  <si>
    <t xml:space="preserve"> Goods</t>
  </si>
  <si>
    <t xml:space="preserve">    Exports</t>
  </si>
  <si>
    <t xml:space="preserve">    Imports</t>
  </si>
  <si>
    <t xml:space="preserve">      General Merchandise</t>
  </si>
  <si>
    <t xml:space="preserve">        Credit</t>
  </si>
  <si>
    <t xml:space="preserve">        Debit</t>
  </si>
  <si>
    <t xml:space="preserve">      Goods procured in Ports by Carriers</t>
  </si>
  <si>
    <t xml:space="preserve">       Non-monetary Gold</t>
  </si>
  <si>
    <t xml:space="preserve">  Services</t>
  </si>
  <si>
    <t xml:space="preserve">    Credit</t>
  </si>
  <si>
    <t xml:space="preserve">      Transportation</t>
  </si>
  <si>
    <t xml:space="preserve">        Passenger</t>
  </si>
  <si>
    <t xml:space="preserve">        Freight</t>
  </si>
  <si>
    <t xml:space="preserve">        Other</t>
  </si>
  <si>
    <t xml:space="preserve">      Travel</t>
  </si>
  <si>
    <t xml:space="preserve">        Business</t>
  </si>
  <si>
    <t xml:space="preserve">        Personal</t>
  </si>
  <si>
    <t xml:space="preserve">      Other Services</t>
  </si>
  <si>
    <t xml:space="preserve">        Private</t>
  </si>
  <si>
    <t xml:space="preserve">        Government</t>
  </si>
  <si>
    <t xml:space="preserve">    Debit</t>
  </si>
  <si>
    <t>B.</t>
  </si>
  <si>
    <t xml:space="preserve">  Income</t>
  </si>
  <si>
    <t xml:space="preserve">    Credit </t>
  </si>
  <si>
    <t xml:space="preserve">      Compensation of Employees</t>
  </si>
  <si>
    <t xml:space="preserve">      Direct Investment Income</t>
  </si>
  <si>
    <t xml:space="preserve">      o/w global business</t>
  </si>
  <si>
    <t xml:space="preserve">      Portfolio Investment Income</t>
  </si>
  <si>
    <t xml:space="preserve">      Other Investment Income</t>
  </si>
  <si>
    <t xml:space="preserve">         General Government</t>
  </si>
  <si>
    <t xml:space="preserve">         Monetary Authorities</t>
  </si>
  <si>
    <t xml:space="preserve">         Banks</t>
  </si>
  <si>
    <t xml:space="preserve">         Other Sectors</t>
  </si>
  <si>
    <t>Continued on next page</t>
  </si>
  <si>
    <t xml:space="preserve">1st 
Quarter </t>
  </si>
  <si>
    <t xml:space="preserve">2nd 
Quarter </t>
  </si>
  <si>
    <t xml:space="preserve">      Compensation to employees</t>
  </si>
  <si>
    <t>C.</t>
  </si>
  <si>
    <t xml:space="preserve">  Current Transfers</t>
  </si>
  <si>
    <t xml:space="preserve">      Private</t>
  </si>
  <si>
    <t xml:space="preserve">      Government</t>
  </si>
  <si>
    <t>II.</t>
  </si>
  <si>
    <t>CAPITAL AND FINANCIAL ACCOUNT</t>
  </si>
  <si>
    <t>D.</t>
  </si>
  <si>
    <t xml:space="preserve">  Capital Account </t>
  </si>
  <si>
    <t xml:space="preserve">      Migrants' Transfers</t>
  </si>
  <si>
    <t>E.</t>
  </si>
  <si>
    <r>
      <t xml:space="preserve">  Financial Account </t>
    </r>
    <r>
      <rPr>
        <i/>
        <sz val="9"/>
        <rFont val="Arial"/>
        <family val="2"/>
      </rPr>
      <t/>
    </r>
  </si>
  <si>
    <t xml:space="preserve">    Direct Investment</t>
  </si>
  <si>
    <t xml:space="preserve">      Abroad</t>
  </si>
  <si>
    <t xml:space="preserve">      In Mauritius</t>
  </si>
  <si>
    <t xml:space="preserve">    Portfolio Investment </t>
  </si>
  <si>
    <t xml:space="preserve">      Assets</t>
  </si>
  <si>
    <t xml:space="preserve">       Equity Securities</t>
  </si>
  <si>
    <t xml:space="preserve">       Debt Securities</t>
  </si>
  <si>
    <t xml:space="preserve">     Liabilities</t>
  </si>
  <si>
    <t xml:space="preserve">     Assets</t>
  </si>
  <si>
    <t xml:space="preserve">   Other Investment </t>
  </si>
  <si>
    <t xml:space="preserve">       General Government</t>
  </si>
  <si>
    <t xml:space="preserve">       Monetary Authorities</t>
  </si>
  <si>
    <t xml:space="preserve">       Banks</t>
  </si>
  <si>
    <t xml:space="preserve">       Other Sectors: Long-term</t>
  </si>
  <si>
    <t xml:space="preserve">       Other Sectors: Short-term</t>
  </si>
  <si>
    <t xml:space="preserve">   Reserve Assets</t>
  </si>
  <si>
    <t xml:space="preserve">      Monetary Gold</t>
  </si>
  <si>
    <t xml:space="preserve">      Special Drawing Rights</t>
  </si>
  <si>
    <t xml:space="preserve">      Reserve Position in the Fund</t>
  </si>
  <si>
    <t xml:space="preserve">      Foreign Exchange</t>
  </si>
  <si>
    <t xml:space="preserve">      Other Claims</t>
  </si>
  <si>
    <t>III.</t>
  </si>
  <si>
    <t>NET ERRORS AND OMISSIONS</t>
  </si>
  <si>
    <t>Figures may not add up to totals due to rounding.</t>
  </si>
  <si>
    <t xml:space="preserve">4th 
Quarter </t>
  </si>
  <si>
    <r>
      <t>2014</t>
    </r>
    <r>
      <rPr>
        <b/>
        <vertAlign val="superscript"/>
        <sz val="18"/>
        <rFont val="Times New Roman"/>
        <family val="1"/>
      </rPr>
      <t xml:space="preserve"> 1</t>
    </r>
  </si>
  <si>
    <r>
      <t xml:space="preserve">2014 </t>
    </r>
    <r>
      <rPr>
        <b/>
        <vertAlign val="superscript"/>
        <sz val="18"/>
        <rFont val="Times New Roman"/>
        <family val="1"/>
      </rPr>
      <t>1</t>
    </r>
  </si>
  <si>
    <r>
      <t xml:space="preserve">1 </t>
    </r>
    <r>
      <rPr>
        <i/>
        <sz val="16"/>
        <rFont val="Times New Roman"/>
        <family val="1"/>
      </rPr>
      <t xml:space="preserve">Partially Revised Estimates.                                   </t>
    </r>
    <r>
      <rPr>
        <i/>
        <vertAlign val="superscript"/>
        <sz val="16"/>
        <rFont val="Times New Roman"/>
        <family val="1"/>
      </rPr>
      <t xml:space="preserve"> 2</t>
    </r>
    <r>
      <rPr>
        <i/>
        <sz val="16"/>
        <rFont val="Times New Roman"/>
        <family val="1"/>
      </rPr>
      <t xml:space="preserve"> Preliminary Estimates.</t>
    </r>
  </si>
  <si>
    <r>
      <t xml:space="preserve">1st
Quarter </t>
    </r>
    <r>
      <rPr>
        <b/>
        <vertAlign val="superscript"/>
        <sz val="18"/>
        <rFont val="Times New Roman"/>
        <family val="1"/>
      </rPr>
      <t>1</t>
    </r>
  </si>
  <si>
    <r>
      <t xml:space="preserve">3rd
Quarter </t>
    </r>
    <r>
      <rPr>
        <b/>
        <vertAlign val="superscript"/>
        <sz val="18"/>
        <rFont val="Times New Roman"/>
        <family val="1"/>
      </rPr>
      <t>2</t>
    </r>
  </si>
  <si>
    <t xml:space="preserve"> </t>
  </si>
  <si>
    <r>
      <t xml:space="preserve">2nd
Quarter </t>
    </r>
    <r>
      <rPr>
        <b/>
        <vertAlign val="superscript"/>
        <sz val="18"/>
        <rFont val="Times New Roman"/>
        <family val="1"/>
      </rPr>
      <t>1</t>
    </r>
  </si>
  <si>
    <r>
      <t>2nd
Quarter</t>
    </r>
    <r>
      <rPr>
        <b/>
        <vertAlign val="superscript"/>
        <sz val="18"/>
        <rFont val="Times New Roman"/>
        <family val="1"/>
      </rPr>
      <t xml:space="preserve"> 1</t>
    </r>
  </si>
  <si>
    <t>Source : Research and Economic Analysis Department</t>
  </si>
  <si>
    <t xml:space="preserve">Table 51: Balance of Payments - Partially Revised 2014 and First Three Quarters 2015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</si>
</sst>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i/>
      <sz val="15"/>
      <name val="Times New Roman"/>
      <family val="1"/>
    </font>
    <font>
      <i/>
      <sz val="18"/>
      <name val="Times New Roman"/>
      <family val="1"/>
    </font>
    <font>
      <b/>
      <sz val="14"/>
      <name val="Times New Roman"/>
      <family val="1"/>
    </font>
    <font>
      <sz val="15"/>
      <name val="Times New Roman"/>
      <family val="1"/>
    </font>
    <font>
      <b/>
      <sz val="18"/>
      <name val="Times New Roman"/>
      <family val="1"/>
    </font>
    <font>
      <b/>
      <vertAlign val="superscript"/>
      <sz val="18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6"/>
      <name val="Times New Roman"/>
      <family val="1"/>
    </font>
    <font>
      <i/>
      <sz val="9"/>
      <name val="Arial"/>
      <family val="2"/>
    </font>
    <font>
      <i/>
      <vertAlign val="superscript"/>
      <sz val="16"/>
      <name val="Times New Roman"/>
      <family val="1"/>
    </font>
    <font>
      <i/>
      <sz val="16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5"/>
      <name val="Times New Roman"/>
      <family val="1"/>
    </font>
    <font>
      <b/>
      <sz val="2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11" fillId="0" borderId="0" xfId="0" applyFont="1"/>
    <xf numFmtId="0" fontId="7" fillId="2" borderId="9" xfId="2" applyFont="1" applyFill="1" applyBorder="1"/>
    <xf numFmtId="0" fontId="8" fillId="2" borderId="10" xfId="2" applyFont="1" applyFill="1" applyBorder="1" applyAlignment="1">
      <alignment horizontal="center" vertical="top" wrapText="1"/>
    </xf>
    <xf numFmtId="0" fontId="8" fillId="0" borderId="11" xfId="0" applyFont="1" applyBorder="1"/>
    <xf numFmtId="0" fontId="8" fillId="0" borderId="12" xfId="0" applyFont="1" applyBorder="1"/>
    <xf numFmtId="0" fontId="8" fillId="0" borderId="0" xfId="0" applyFont="1"/>
    <xf numFmtId="0" fontId="12" fillId="2" borderId="10" xfId="2" applyFont="1" applyFill="1" applyBorder="1"/>
    <xf numFmtId="3" fontId="9" fillId="0" borderId="11" xfId="0" applyNumberFormat="1" applyFont="1" applyBorder="1"/>
    <xf numFmtId="0" fontId="12" fillId="0" borderId="0" xfId="0" applyFont="1"/>
    <xf numFmtId="0" fontId="8" fillId="2" borderId="10" xfId="2" applyFont="1" applyFill="1" applyBorder="1"/>
    <xf numFmtId="3" fontId="13" fillId="0" borderId="11" xfId="0" applyNumberFormat="1" applyFont="1" applyFill="1" applyBorder="1"/>
    <xf numFmtId="3" fontId="13" fillId="0" borderId="11" xfId="2" applyNumberFormat="1" applyFont="1" applyFill="1" applyBorder="1" applyAlignment="1"/>
    <xf numFmtId="0" fontId="14" fillId="2" borderId="9" xfId="2" applyFont="1" applyFill="1" applyBorder="1"/>
    <xf numFmtId="3" fontId="9" fillId="0" borderId="11" xfId="0" applyNumberFormat="1" applyFont="1" applyFill="1" applyBorder="1"/>
    <xf numFmtId="0" fontId="15" fillId="2" borderId="9" xfId="2" applyFont="1" applyFill="1" applyBorder="1"/>
    <xf numFmtId="0" fontId="5" fillId="2" borderId="10" xfId="2" applyFont="1" applyFill="1" applyBorder="1"/>
    <xf numFmtId="3" fontId="6" fillId="0" borderId="11" xfId="2" applyNumberFormat="1" applyFont="1" applyFill="1" applyBorder="1" applyAlignment="1"/>
    <xf numFmtId="0" fontId="5" fillId="0" borderId="0" xfId="0" applyFont="1"/>
    <xf numFmtId="3" fontId="6" fillId="0" borderId="11" xfId="0" applyNumberFormat="1" applyFont="1" applyFill="1" applyBorder="1"/>
    <xf numFmtId="0" fontId="4" fillId="2" borderId="9" xfId="2" applyFont="1" applyFill="1" applyBorder="1"/>
    <xf numFmtId="3" fontId="13" fillId="0" borderId="11" xfId="1" applyNumberFormat="1" applyFont="1" applyFill="1" applyBorder="1"/>
    <xf numFmtId="3" fontId="9" fillId="0" borderId="11" xfId="2" applyNumberFormat="1" applyFont="1" applyFill="1" applyBorder="1" applyAlignment="1"/>
    <xf numFmtId="0" fontId="4" fillId="2" borderId="13" xfId="2" applyFont="1" applyFill="1" applyBorder="1"/>
    <xf numFmtId="1" fontId="16" fillId="0" borderId="0" xfId="0" applyNumberFormat="1" applyFont="1"/>
    <xf numFmtId="0" fontId="15" fillId="0" borderId="0" xfId="0" applyFont="1"/>
    <xf numFmtId="0" fontId="9" fillId="2" borderId="16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top" wrapText="1"/>
    </xf>
    <xf numFmtId="0" fontId="7" fillId="2" borderId="17" xfId="2" applyFont="1" applyFill="1" applyBorder="1"/>
    <xf numFmtId="3" fontId="13" fillId="0" borderId="11" xfId="0" applyNumberFormat="1" applyFont="1" applyBorder="1"/>
    <xf numFmtId="0" fontId="4" fillId="2" borderId="17" xfId="2" applyFont="1" applyFill="1" applyBorder="1"/>
    <xf numFmtId="3" fontId="6" fillId="0" borderId="11" xfId="0" applyNumberFormat="1" applyFont="1" applyBorder="1"/>
    <xf numFmtId="3" fontId="13" fillId="0" borderId="11" xfId="2" applyNumberFormat="1" applyFont="1" applyBorder="1" applyAlignment="1"/>
    <xf numFmtId="3" fontId="9" fillId="0" borderId="11" xfId="2" applyNumberFormat="1" applyFont="1" applyBorder="1" applyAlignment="1"/>
    <xf numFmtId="0" fontId="7" fillId="2" borderId="13" xfId="2" applyFont="1" applyFill="1" applyBorder="1"/>
    <xf numFmtId="0" fontId="12" fillId="2" borderId="14" xfId="2" applyFont="1" applyFill="1" applyBorder="1"/>
    <xf numFmtId="0" fontId="8" fillId="0" borderId="18" xfId="0" applyFont="1" applyBorder="1"/>
    <xf numFmtId="0" fontId="19" fillId="0" borderId="0" xfId="0" applyFont="1"/>
    <xf numFmtId="3" fontId="3" fillId="0" borderId="0" xfId="0" applyNumberFormat="1" applyFont="1"/>
    <xf numFmtId="0" fontId="14" fillId="0" borderId="0" xfId="0" applyFont="1"/>
    <xf numFmtId="0" fontId="9" fillId="2" borderId="19" xfId="2" applyFont="1" applyFill="1" applyBorder="1" applyAlignment="1">
      <alignment horizontal="center" vertical="center" wrapText="1"/>
    </xf>
    <xf numFmtId="0" fontId="8" fillId="0" borderId="18" xfId="0" applyFont="1" applyFill="1" applyBorder="1"/>
    <xf numFmtId="1" fontId="12" fillId="0" borderId="0" xfId="0" applyNumberFormat="1" applyFont="1"/>
    <xf numFmtId="1" fontId="8" fillId="0" borderId="0" xfId="0" applyNumberFormat="1" applyFont="1"/>
    <xf numFmtId="3" fontId="6" fillId="0" borderId="15" xfId="2" applyNumberFormat="1" applyFont="1" applyFill="1" applyBorder="1" applyAlignment="1"/>
    <xf numFmtId="3" fontId="5" fillId="0" borderId="0" xfId="0" applyNumberFormat="1" applyFont="1"/>
    <xf numFmtId="165" fontId="8" fillId="0" borderId="0" xfId="32" applyNumberFormat="1" applyFont="1"/>
    <xf numFmtId="1" fontId="8" fillId="0" borderId="0" xfId="0" applyNumberFormat="1" applyFont="1" applyFill="1"/>
    <xf numFmtId="0" fontId="8" fillId="0" borderId="0" xfId="0" applyFont="1" applyFill="1"/>
    <xf numFmtId="0" fontId="9" fillId="2" borderId="8" xfId="2" applyFont="1" applyFill="1" applyBorder="1" applyAlignment="1">
      <alignment horizontal="center" vertical="center" wrapText="1"/>
    </xf>
    <xf numFmtId="165" fontId="22" fillId="3" borderId="0" xfId="32" applyNumberFormat="1" applyFont="1" applyFill="1"/>
    <xf numFmtId="0" fontId="5" fillId="2" borderId="14" xfId="2" applyFont="1" applyFill="1" applyBorder="1"/>
    <xf numFmtId="3" fontId="6" fillId="0" borderId="15" xfId="0" applyNumberFormat="1" applyFont="1" applyFill="1" applyBorder="1"/>
    <xf numFmtId="1" fontId="5" fillId="0" borderId="0" xfId="0" applyNumberFormat="1" applyFont="1"/>
    <xf numFmtId="2" fontId="5" fillId="0" borderId="0" xfId="0" applyNumberFormat="1" applyFont="1"/>
    <xf numFmtId="3" fontId="8" fillId="0" borderId="15" xfId="0" applyNumberFormat="1" applyFont="1" applyBorder="1"/>
    <xf numFmtId="166" fontId="13" fillId="0" borderId="0" xfId="1" applyNumberFormat="1" applyFont="1" applyFill="1"/>
    <xf numFmtId="3" fontId="3" fillId="0" borderId="0" xfId="0" applyNumberFormat="1" applyFont="1" applyFill="1"/>
    <xf numFmtId="3" fontId="8" fillId="0" borderId="0" xfId="0" applyNumberFormat="1" applyFont="1"/>
    <xf numFmtId="0" fontId="23" fillId="0" borderId="0" xfId="2" applyFont="1" applyAlignment="1">
      <alignment wrapText="1"/>
    </xf>
    <xf numFmtId="0" fontId="23" fillId="0" borderId="0" xfId="2" applyFont="1" applyAlignment="1"/>
    <xf numFmtId="3" fontId="8" fillId="0" borderId="0" xfId="0" applyNumberFormat="1" applyFont="1" applyFill="1"/>
    <xf numFmtId="3" fontId="12" fillId="0" borderId="0" xfId="0" applyNumberFormat="1" applyFont="1"/>
    <xf numFmtId="0" fontId="9" fillId="2" borderId="4" xfId="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0" borderId="20" xfId="2" applyFont="1" applyBorder="1" applyAlignment="1">
      <alignment wrapText="1"/>
    </xf>
    <xf numFmtId="0" fontId="0" fillId="0" borderId="20" xfId="0" applyBorder="1" applyAlignment="1">
      <alignment wrapText="1"/>
    </xf>
    <xf numFmtId="0" fontId="9" fillId="2" borderId="3" xfId="2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/>
    </xf>
    <xf numFmtId="0" fontId="7" fillId="2" borderId="6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 vertical="top" wrapText="1"/>
    </xf>
    <xf numFmtId="0" fontId="8" fillId="2" borderId="7" xfId="2" applyFont="1" applyFill="1" applyBorder="1" applyAlignment="1">
      <alignment horizontal="center" vertical="top" wrapText="1"/>
    </xf>
    <xf numFmtId="0" fontId="9" fillId="2" borderId="5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/>
    </xf>
    <xf numFmtId="0" fontId="12" fillId="2" borderId="7" xfId="2" applyFont="1" applyFill="1" applyBorder="1" applyAlignment="1">
      <alignment horizontal="center"/>
    </xf>
  </cellXfs>
  <cellStyles count="33">
    <cellStyle name="Comma" xfId="1" builtinId="3"/>
    <cellStyle name="Comma 2" xfId="3"/>
    <cellStyle name="Comma 3" xfId="6"/>
    <cellStyle name="Comma 5" xfId="7"/>
    <cellStyle name="Hyperlink 2" xfId="8"/>
    <cellStyle name="Normal" xfId="0" builtinId="0"/>
    <cellStyle name="Normal 10" xfId="9"/>
    <cellStyle name="Normal 2" xfId="5"/>
    <cellStyle name="Normal 2 2" xfId="10"/>
    <cellStyle name="Normal 2 2 2" xfId="11"/>
    <cellStyle name="Normal 2 3" xfId="12"/>
    <cellStyle name="Normal 2 3 2" xfId="13"/>
    <cellStyle name="Normal 2 4" xfId="14"/>
    <cellStyle name="Normal 2 4 2" xfId="15"/>
    <cellStyle name="Normal 2 4 3" xfId="16"/>
    <cellStyle name="Normal 2 5" xfId="4"/>
    <cellStyle name="Normal 3" xfId="17"/>
    <cellStyle name="Normal 3 2" xfId="18"/>
    <cellStyle name="Normal 4" xfId="19"/>
    <cellStyle name="Normal 5" xfId="20"/>
    <cellStyle name="Normal 5 2" xfId="21"/>
    <cellStyle name="Normal 5 3" xfId="22"/>
    <cellStyle name="Normal 5 3 2" xfId="23"/>
    <cellStyle name="Normal 5 3 3" xfId="24"/>
    <cellStyle name="Normal 6" xfId="25"/>
    <cellStyle name="Normal 6 2" xfId="26"/>
    <cellStyle name="Normal 6 3" xfId="27"/>
    <cellStyle name="Normal 6 3 2" xfId="28"/>
    <cellStyle name="Normal 6 3 3" xfId="29"/>
    <cellStyle name="Normal 7" xfId="30"/>
    <cellStyle name="Normal_Quarterly BOP 2001" xfId="2"/>
    <cellStyle name="Percent" xfId="32" builtinId="5"/>
    <cellStyle name="Percent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tabSelected="1" zoomScale="64" zoomScaleNormal="64" zoomScaleSheetLayoutView="70" workbookViewId="0">
      <pane xSplit="2" ySplit="4" topLeftCell="C14" activePane="bottomRight" state="frozen"/>
      <selection pane="topRight" activeCell="C1" sqref="C1"/>
      <selection pane="bottomLeft" activeCell="A6" sqref="A6"/>
      <selection pane="bottomRight" activeCell="N14" sqref="N14"/>
    </sheetView>
  </sheetViews>
  <sheetFormatPr defaultRowHeight="19.5" x14ac:dyDescent="0.3"/>
  <cols>
    <col min="1" max="1" width="4.85546875" style="43" customWidth="1"/>
    <col min="2" max="2" width="57.28515625" style="10" customWidth="1"/>
    <col min="3" max="3" width="16.5703125" style="1" customWidth="1"/>
    <col min="4" max="4" width="18" style="1" customWidth="1"/>
    <col min="5" max="5" width="18.140625" style="1" customWidth="1"/>
    <col min="6" max="6" width="20" style="1" customWidth="1"/>
    <col min="7" max="10" width="17.85546875" style="1" customWidth="1"/>
    <col min="11" max="11" width="16" style="1" customWidth="1"/>
    <col min="12" max="12" width="13.28515625" style="1" bestFit="1" customWidth="1"/>
    <col min="13" max="16384" width="9.140625" style="1"/>
  </cols>
  <sheetData>
    <row r="1" spans="1:19" ht="46.5" customHeight="1" x14ac:dyDescent="0.35">
      <c r="A1" s="64" t="s">
        <v>90</v>
      </c>
      <c r="B1" s="63"/>
      <c r="C1" s="63"/>
      <c r="D1" s="63"/>
      <c r="E1" s="63"/>
      <c r="F1" s="63"/>
      <c r="G1" s="63"/>
      <c r="H1" s="63"/>
      <c r="I1" s="63"/>
      <c r="J1" s="63"/>
      <c r="L1" s="42"/>
    </row>
    <row r="2" spans="1:19" ht="34.5" customHeight="1" thickBot="1" x14ac:dyDescent="0.4">
      <c r="A2" s="2"/>
      <c r="B2" s="3"/>
      <c r="C2" s="4"/>
      <c r="D2" s="4"/>
      <c r="E2" s="4"/>
      <c r="F2" s="4"/>
      <c r="G2" s="4"/>
      <c r="H2" s="4"/>
      <c r="I2" s="4"/>
      <c r="J2" s="4" t="s">
        <v>0</v>
      </c>
      <c r="K2" s="4"/>
    </row>
    <row r="3" spans="1:19" s="5" customFormat="1" ht="45.75" customHeight="1" thickBot="1" x14ac:dyDescent="0.35">
      <c r="A3" s="74"/>
      <c r="B3" s="76"/>
      <c r="C3" s="67" t="s">
        <v>81</v>
      </c>
      <c r="D3" s="78"/>
      <c r="E3" s="78"/>
      <c r="F3" s="78"/>
      <c r="G3" s="72" t="s">
        <v>82</v>
      </c>
      <c r="H3" s="67">
        <v>2015</v>
      </c>
      <c r="I3" s="68"/>
      <c r="J3" s="69"/>
    </row>
    <row r="4" spans="1:19" s="5" customFormat="1" ht="79.5" customHeight="1" x14ac:dyDescent="0.3">
      <c r="A4" s="75"/>
      <c r="B4" s="77"/>
      <c r="C4" s="53" t="s">
        <v>1</v>
      </c>
      <c r="D4" s="53" t="s">
        <v>2</v>
      </c>
      <c r="E4" s="44" t="s">
        <v>3</v>
      </c>
      <c r="F4" s="30" t="s">
        <v>80</v>
      </c>
      <c r="G4" s="73"/>
      <c r="H4" s="53" t="s">
        <v>84</v>
      </c>
      <c r="I4" s="53" t="s">
        <v>87</v>
      </c>
      <c r="J4" s="53" t="s">
        <v>85</v>
      </c>
    </row>
    <row r="5" spans="1:19" s="10" customFormat="1" ht="17.25" customHeight="1" x14ac:dyDescent="0.3">
      <c r="A5" s="6"/>
      <c r="B5" s="7"/>
      <c r="C5" s="8"/>
      <c r="D5" s="9"/>
      <c r="E5" s="9"/>
      <c r="F5" s="9"/>
      <c r="G5" s="9"/>
      <c r="H5" s="9"/>
      <c r="I5" s="9"/>
      <c r="J5" s="9"/>
    </row>
    <row r="6" spans="1:19" s="13" customFormat="1" ht="27.75" customHeight="1" x14ac:dyDescent="0.3">
      <c r="A6" s="6" t="s">
        <v>4</v>
      </c>
      <c r="B6" s="11" t="s">
        <v>5</v>
      </c>
      <c r="C6" s="12">
        <f t="shared" ref="C6:H6" si="0">C7+C41+C71</f>
        <v>-6773</v>
      </c>
      <c r="D6" s="12">
        <f t="shared" si="0"/>
        <v>-3494</v>
      </c>
      <c r="E6" s="12">
        <f t="shared" si="0"/>
        <v>-8282</v>
      </c>
      <c r="F6" s="12">
        <f t="shared" si="0"/>
        <v>-3275</v>
      </c>
      <c r="G6" s="12">
        <f>C6+D6+E6+F6</f>
        <v>-21824</v>
      </c>
      <c r="H6" s="12">
        <f t="shared" si="0"/>
        <v>-6049</v>
      </c>
      <c r="I6" s="12">
        <f t="shared" ref="I6:J6" si="1">I7+I41+I71</f>
        <v>-5077.0467312402325</v>
      </c>
      <c r="J6" s="12">
        <f t="shared" si="1"/>
        <v>-5292</v>
      </c>
      <c r="N6" s="66"/>
      <c r="O6" s="66"/>
    </row>
    <row r="7" spans="1:19" s="13" customFormat="1" ht="27.75" customHeight="1" x14ac:dyDescent="0.3">
      <c r="A7" s="6" t="s">
        <v>6</v>
      </c>
      <c r="B7" s="11" t="s">
        <v>7</v>
      </c>
      <c r="C7" s="12">
        <f t="shared" ref="C7:H7" si="2">C8+C18</f>
        <v>-8203</v>
      </c>
      <c r="D7" s="12">
        <f t="shared" si="2"/>
        <v>-8597</v>
      </c>
      <c r="E7" s="12">
        <f t="shared" si="2"/>
        <v>-14408</v>
      </c>
      <c r="F7" s="12">
        <f t="shared" si="2"/>
        <v>-17032</v>
      </c>
      <c r="G7" s="12">
        <f>C7+D7+E7+F7</f>
        <v>-48240</v>
      </c>
      <c r="H7" s="12">
        <f t="shared" si="2"/>
        <v>-8488</v>
      </c>
      <c r="I7" s="12">
        <f t="shared" ref="I7:J7" si="3">I8+I18</f>
        <v>-10121</v>
      </c>
      <c r="J7" s="12">
        <f t="shared" si="3"/>
        <v>-11454</v>
      </c>
    </row>
    <row r="8" spans="1:19" s="13" customFormat="1" ht="27.75" customHeight="1" x14ac:dyDescent="0.3">
      <c r="A8" s="6"/>
      <c r="B8" s="11" t="s">
        <v>8</v>
      </c>
      <c r="C8" s="12">
        <f t="shared" ref="C8:H8" si="4">C9+C10</f>
        <v>-13578</v>
      </c>
      <c r="D8" s="12">
        <f t="shared" si="4"/>
        <v>-15554</v>
      </c>
      <c r="E8" s="12">
        <f t="shared" si="4"/>
        <v>-18413</v>
      </c>
      <c r="F8" s="12">
        <f t="shared" si="4"/>
        <v>-21849</v>
      </c>
      <c r="G8" s="12">
        <f>C8+D8+E8+F8</f>
        <v>-69394</v>
      </c>
      <c r="H8" s="12">
        <f t="shared" si="4"/>
        <v>-13991</v>
      </c>
      <c r="I8" s="12">
        <f>I9+I10</f>
        <v>-15351</v>
      </c>
      <c r="J8" s="12">
        <f>J9+J10</f>
        <v>-14848</v>
      </c>
    </row>
    <row r="9" spans="1:19" s="10" customFormat="1" ht="27.75" customHeight="1" x14ac:dyDescent="0.35">
      <c r="A9" s="6"/>
      <c r="B9" s="14" t="s">
        <v>9</v>
      </c>
      <c r="C9" s="15">
        <f t="shared" ref="C9:H10" si="5">C12+C15</f>
        <v>20476</v>
      </c>
      <c r="D9" s="15">
        <f t="shared" si="5"/>
        <v>24447</v>
      </c>
      <c r="E9" s="15">
        <f t="shared" si="5"/>
        <v>25254</v>
      </c>
      <c r="F9" s="15">
        <f t="shared" si="5"/>
        <v>24599</v>
      </c>
      <c r="G9" s="15">
        <f t="shared" ref="G9:G53" si="6">C9+D9+E9+F9</f>
        <v>94776</v>
      </c>
      <c r="H9" s="15">
        <f t="shared" si="5"/>
        <v>22734</v>
      </c>
      <c r="I9" s="15">
        <f t="shared" ref="I9:J9" si="7">I12+I15</f>
        <v>25213</v>
      </c>
      <c r="J9" s="15">
        <f t="shared" si="7"/>
        <v>24763</v>
      </c>
    </row>
    <row r="10" spans="1:19" s="10" customFormat="1" ht="27.75" customHeight="1" x14ac:dyDescent="0.35">
      <c r="A10" s="6"/>
      <c r="B10" s="14" t="s">
        <v>10</v>
      </c>
      <c r="C10" s="16">
        <f t="shared" si="5"/>
        <v>-34054</v>
      </c>
      <c r="D10" s="16">
        <f t="shared" si="5"/>
        <v>-40001</v>
      </c>
      <c r="E10" s="16">
        <f t="shared" si="5"/>
        <v>-43667</v>
      </c>
      <c r="F10" s="16">
        <f t="shared" si="5"/>
        <v>-46448</v>
      </c>
      <c r="G10" s="16">
        <f t="shared" si="6"/>
        <v>-164170</v>
      </c>
      <c r="H10" s="16">
        <f t="shared" si="5"/>
        <v>-36725</v>
      </c>
      <c r="I10" s="16">
        <f>I13+I16</f>
        <v>-40564</v>
      </c>
      <c r="J10" s="16">
        <f>J13+J16</f>
        <v>-39611</v>
      </c>
    </row>
    <row r="11" spans="1:19" s="10" customFormat="1" ht="27.75" customHeight="1" x14ac:dyDescent="0.35">
      <c r="A11" s="6"/>
      <c r="B11" s="14" t="s">
        <v>11</v>
      </c>
      <c r="C11" s="15">
        <f t="shared" ref="C11:H11" si="8">C12+C13</f>
        <v>-16065</v>
      </c>
      <c r="D11" s="15">
        <f t="shared" si="8"/>
        <v>-18313</v>
      </c>
      <c r="E11" s="15">
        <f t="shared" si="8"/>
        <v>-20856</v>
      </c>
      <c r="F11" s="15">
        <f t="shared" si="8"/>
        <v>-24595</v>
      </c>
      <c r="G11" s="15">
        <f t="shared" si="6"/>
        <v>-79829</v>
      </c>
      <c r="H11" s="15">
        <f t="shared" si="8"/>
        <v>-15608</v>
      </c>
      <c r="I11" s="15">
        <f>I12+I13</f>
        <v>-17094</v>
      </c>
      <c r="J11" s="15">
        <f>J12+J13</f>
        <v>-16443</v>
      </c>
    </row>
    <row r="12" spans="1:19" s="10" customFormat="1" ht="27.75" customHeight="1" x14ac:dyDescent="0.35">
      <c r="A12" s="6"/>
      <c r="B12" s="14" t="s">
        <v>12</v>
      </c>
      <c r="C12" s="15">
        <v>17226</v>
      </c>
      <c r="D12" s="15">
        <v>20922</v>
      </c>
      <c r="E12" s="15">
        <v>21924</v>
      </c>
      <c r="F12" s="15">
        <v>21104</v>
      </c>
      <c r="G12" s="15">
        <f t="shared" si="6"/>
        <v>81176</v>
      </c>
      <c r="H12" s="15">
        <v>20584</v>
      </c>
      <c r="I12" s="15">
        <v>22913</v>
      </c>
      <c r="J12" s="15">
        <v>22563</v>
      </c>
    </row>
    <row r="13" spans="1:19" s="10" customFormat="1" ht="27.75" customHeight="1" x14ac:dyDescent="0.35">
      <c r="A13" s="6"/>
      <c r="B13" s="14" t="s">
        <v>13</v>
      </c>
      <c r="C13" s="15">
        <v>-33291</v>
      </c>
      <c r="D13" s="15">
        <v>-39235</v>
      </c>
      <c r="E13" s="15">
        <v>-42780</v>
      </c>
      <c r="F13" s="15">
        <v>-45699</v>
      </c>
      <c r="G13" s="15">
        <f t="shared" si="6"/>
        <v>-161005</v>
      </c>
      <c r="H13" s="15">
        <v>-36192</v>
      </c>
      <c r="I13" s="15">
        <v>-40007</v>
      </c>
      <c r="J13" s="15">
        <v>-39006</v>
      </c>
    </row>
    <row r="14" spans="1:19" s="10" customFormat="1" ht="27.75" customHeight="1" x14ac:dyDescent="0.35">
      <c r="A14" s="17"/>
      <c r="B14" s="14" t="s">
        <v>14</v>
      </c>
      <c r="C14" s="16">
        <f t="shared" ref="C14:H14" si="9">C15+C16</f>
        <v>2487</v>
      </c>
      <c r="D14" s="16">
        <f t="shared" si="9"/>
        <v>2759</v>
      </c>
      <c r="E14" s="16">
        <f t="shared" si="9"/>
        <v>2443</v>
      </c>
      <c r="F14" s="16">
        <f t="shared" si="9"/>
        <v>2746</v>
      </c>
      <c r="G14" s="16">
        <f t="shared" si="6"/>
        <v>10435</v>
      </c>
      <c r="H14" s="16">
        <f t="shared" si="9"/>
        <v>1617</v>
      </c>
      <c r="I14" s="16">
        <f t="shared" ref="I14:J14" si="10">I15+I16</f>
        <v>1743</v>
      </c>
      <c r="J14" s="16">
        <f t="shared" si="10"/>
        <v>1595</v>
      </c>
      <c r="S14" s="10" t="s">
        <v>86</v>
      </c>
    </row>
    <row r="15" spans="1:19" s="10" customFormat="1" ht="27.75" customHeight="1" x14ac:dyDescent="0.35">
      <c r="A15" s="6"/>
      <c r="B15" s="14" t="s">
        <v>12</v>
      </c>
      <c r="C15" s="15">
        <v>3250</v>
      </c>
      <c r="D15" s="15">
        <v>3525</v>
      </c>
      <c r="E15" s="15">
        <v>3330</v>
      </c>
      <c r="F15" s="15">
        <v>3495</v>
      </c>
      <c r="G15" s="15">
        <f t="shared" si="6"/>
        <v>13600</v>
      </c>
      <c r="H15" s="15">
        <v>2150</v>
      </c>
      <c r="I15" s="15">
        <v>2300</v>
      </c>
      <c r="J15" s="15">
        <v>2200</v>
      </c>
    </row>
    <row r="16" spans="1:19" s="10" customFormat="1" ht="27.75" customHeight="1" x14ac:dyDescent="0.35">
      <c r="A16" s="6"/>
      <c r="B16" s="14" t="s">
        <v>13</v>
      </c>
      <c r="C16" s="16">
        <v>-763</v>
      </c>
      <c r="D16" s="16">
        <v>-766</v>
      </c>
      <c r="E16" s="16">
        <v>-887</v>
      </c>
      <c r="F16" s="16">
        <v>-749</v>
      </c>
      <c r="G16" s="16">
        <f t="shared" si="6"/>
        <v>-3165</v>
      </c>
      <c r="H16" s="16">
        <v>-533</v>
      </c>
      <c r="I16" s="16">
        <v>-557</v>
      </c>
      <c r="J16" s="16">
        <v>-605</v>
      </c>
    </row>
    <row r="17" spans="1:14" s="10" customFormat="1" ht="27.75" customHeight="1" x14ac:dyDescent="0.35">
      <c r="A17" s="6"/>
      <c r="B17" s="14" t="s">
        <v>15</v>
      </c>
      <c r="C17" s="15">
        <v>-152</v>
      </c>
      <c r="D17" s="15">
        <v>-222</v>
      </c>
      <c r="E17" s="15">
        <v>-186</v>
      </c>
      <c r="F17" s="15">
        <v>-152</v>
      </c>
      <c r="G17" s="15">
        <f t="shared" si="6"/>
        <v>-712</v>
      </c>
      <c r="H17" s="15">
        <v>-192</v>
      </c>
      <c r="I17" s="15">
        <v>-231</v>
      </c>
      <c r="J17" s="15">
        <v>-177</v>
      </c>
    </row>
    <row r="18" spans="1:14" s="13" customFormat="1" ht="27.75" customHeight="1" x14ac:dyDescent="0.3">
      <c r="A18" s="6"/>
      <c r="B18" s="11" t="s">
        <v>16</v>
      </c>
      <c r="C18" s="18">
        <f t="shared" ref="C18:H18" si="11">C19+C30</f>
        <v>5375</v>
      </c>
      <c r="D18" s="18">
        <f t="shared" si="11"/>
        <v>6957</v>
      </c>
      <c r="E18" s="18">
        <f t="shared" si="11"/>
        <v>4005</v>
      </c>
      <c r="F18" s="18">
        <f t="shared" si="11"/>
        <v>4817</v>
      </c>
      <c r="G18" s="18">
        <f t="shared" si="6"/>
        <v>21154</v>
      </c>
      <c r="H18" s="18">
        <f t="shared" si="11"/>
        <v>5503</v>
      </c>
      <c r="I18" s="18">
        <f t="shared" ref="I18:J18" si="12">I19+I30</f>
        <v>5230</v>
      </c>
      <c r="J18" s="18">
        <f t="shared" si="12"/>
        <v>3394</v>
      </c>
    </row>
    <row r="19" spans="1:14" s="10" customFormat="1" ht="27.75" customHeight="1" x14ac:dyDescent="0.35">
      <c r="A19" s="6"/>
      <c r="B19" s="14" t="s">
        <v>17</v>
      </c>
      <c r="C19" s="16">
        <f t="shared" ref="C19:H19" si="13">C20+C24+C27</f>
        <v>22874</v>
      </c>
      <c r="D19" s="16">
        <f t="shared" si="13"/>
        <v>24796</v>
      </c>
      <c r="E19" s="16">
        <f t="shared" si="13"/>
        <v>23818</v>
      </c>
      <c r="F19" s="16">
        <f t="shared" si="13"/>
        <v>26233</v>
      </c>
      <c r="G19" s="16">
        <f t="shared" si="6"/>
        <v>97721</v>
      </c>
      <c r="H19" s="16">
        <f t="shared" si="13"/>
        <v>25046</v>
      </c>
      <c r="I19" s="16">
        <f t="shared" ref="I19:J19" si="14">I20+I24+I27</f>
        <v>23993</v>
      </c>
      <c r="J19" s="16">
        <f t="shared" si="14"/>
        <v>23387</v>
      </c>
    </row>
    <row r="20" spans="1:14" s="10" customFormat="1" ht="27.75" customHeight="1" x14ac:dyDescent="0.35">
      <c r="A20" s="6"/>
      <c r="B20" s="14" t="s">
        <v>18</v>
      </c>
      <c r="C20" s="15">
        <f t="shared" ref="C20:F20" si="15">SUM(C21:C23)</f>
        <v>2968</v>
      </c>
      <c r="D20" s="15">
        <f t="shared" si="15"/>
        <v>2360</v>
      </c>
      <c r="E20" s="15">
        <f t="shared" si="15"/>
        <v>2748</v>
      </c>
      <c r="F20" s="15">
        <f t="shared" si="15"/>
        <v>3090</v>
      </c>
      <c r="G20" s="15">
        <f t="shared" si="6"/>
        <v>11166</v>
      </c>
      <c r="H20" s="15">
        <f>SUM(H21:H23)</f>
        <v>3121</v>
      </c>
      <c r="I20" s="15">
        <f t="shared" ref="I20:J20" si="16">SUM(I21:I23)</f>
        <v>2451</v>
      </c>
      <c r="J20" s="15">
        <f t="shared" si="16"/>
        <v>2975</v>
      </c>
      <c r="K20" s="62"/>
    </row>
    <row r="21" spans="1:14" s="22" customFormat="1" ht="27.75" customHeight="1" x14ac:dyDescent="0.35">
      <c r="A21" s="19"/>
      <c r="B21" s="20" t="s">
        <v>19</v>
      </c>
      <c r="C21" s="21">
        <v>2259</v>
      </c>
      <c r="D21" s="21">
        <v>1688</v>
      </c>
      <c r="E21" s="21">
        <v>2040</v>
      </c>
      <c r="F21" s="21">
        <v>2359</v>
      </c>
      <c r="G21" s="21">
        <f t="shared" si="6"/>
        <v>8346</v>
      </c>
      <c r="H21" s="21">
        <v>2236</v>
      </c>
      <c r="I21" s="21">
        <v>1669</v>
      </c>
      <c r="J21" s="21">
        <v>2270</v>
      </c>
    </row>
    <row r="22" spans="1:14" s="22" customFormat="1" ht="27.75" customHeight="1" x14ac:dyDescent="0.35">
      <c r="A22" s="19"/>
      <c r="B22" s="20" t="s">
        <v>20</v>
      </c>
      <c r="C22" s="21">
        <v>164</v>
      </c>
      <c r="D22" s="21">
        <v>177</v>
      </c>
      <c r="E22" s="21">
        <v>171</v>
      </c>
      <c r="F22" s="21">
        <v>200</v>
      </c>
      <c r="G22" s="21">
        <f t="shared" si="6"/>
        <v>712</v>
      </c>
      <c r="H22" s="21">
        <v>180</v>
      </c>
      <c r="I22" s="21">
        <v>178</v>
      </c>
      <c r="J22" s="21">
        <v>145</v>
      </c>
    </row>
    <row r="23" spans="1:14" s="22" customFormat="1" ht="27.75" customHeight="1" x14ac:dyDescent="0.35">
      <c r="A23" s="19"/>
      <c r="B23" s="20" t="s">
        <v>21</v>
      </c>
      <c r="C23" s="21">
        <v>545</v>
      </c>
      <c r="D23" s="21">
        <v>495</v>
      </c>
      <c r="E23" s="21">
        <v>537</v>
      </c>
      <c r="F23" s="21">
        <v>531</v>
      </c>
      <c r="G23" s="21">
        <f t="shared" si="6"/>
        <v>2108</v>
      </c>
      <c r="H23" s="21">
        <v>705</v>
      </c>
      <c r="I23" s="21">
        <v>604</v>
      </c>
      <c r="J23" s="21">
        <v>560</v>
      </c>
    </row>
    <row r="24" spans="1:14" s="10" customFormat="1" ht="27.75" customHeight="1" x14ac:dyDescent="0.35">
      <c r="A24" s="17"/>
      <c r="B24" s="14" t="s">
        <v>22</v>
      </c>
      <c r="C24" s="16">
        <f t="shared" ref="C24:H24" si="17">C25+C26</f>
        <v>11516</v>
      </c>
      <c r="D24" s="16">
        <f t="shared" si="17"/>
        <v>11061</v>
      </c>
      <c r="E24" s="16">
        <f t="shared" si="17"/>
        <v>9655</v>
      </c>
      <c r="F24" s="16">
        <f t="shared" si="17"/>
        <v>12072</v>
      </c>
      <c r="G24" s="16">
        <f t="shared" si="6"/>
        <v>44304</v>
      </c>
      <c r="H24" s="16">
        <f t="shared" si="17"/>
        <v>13172</v>
      </c>
      <c r="I24" s="16">
        <f t="shared" ref="I24:J24" si="18">I25+I26</f>
        <v>11068</v>
      </c>
      <c r="J24" s="16">
        <f t="shared" si="18"/>
        <v>10929</v>
      </c>
      <c r="K24" s="62"/>
      <c r="L24" s="62"/>
    </row>
    <row r="25" spans="1:14" s="22" customFormat="1" ht="27.75" customHeight="1" x14ac:dyDescent="0.35">
      <c r="A25" s="19"/>
      <c r="B25" s="20" t="s">
        <v>23</v>
      </c>
      <c r="C25" s="21">
        <v>4203</v>
      </c>
      <c r="D25" s="21">
        <v>3922</v>
      </c>
      <c r="E25" s="21">
        <v>3038</v>
      </c>
      <c r="F25" s="21">
        <v>4237</v>
      </c>
      <c r="G25" s="21">
        <f t="shared" si="6"/>
        <v>15400</v>
      </c>
      <c r="H25" s="21">
        <v>4182</v>
      </c>
      <c r="I25" s="21">
        <v>3659</v>
      </c>
      <c r="J25" s="21">
        <v>3010</v>
      </c>
    </row>
    <row r="26" spans="1:14" s="22" customFormat="1" ht="27.75" customHeight="1" x14ac:dyDescent="0.35">
      <c r="A26" s="24"/>
      <c r="B26" s="20" t="s">
        <v>24</v>
      </c>
      <c r="C26" s="21">
        <v>7313</v>
      </c>
      <c r="D26" s="21">
        <v>7139</v>
      </c>
      <c r="E26" s="21">
        <v>6617</v>
      </c>
      <c r="F26" s="21">
        <f>7806+29</f>
        <v>7835</v>
      </c>
      <c r="G26" s="21">
        <f t="shared" si="6"/>
        <v>28904</v>
      </c>
      <c r="H26" s="21">
        <v>8990</v>
      </c>
      <c r="I26" s="21">
        <v>7409</v>
      </c>
      <c r="J26" s="21">
        <v>7919</v>
      </c>
      <c r="K26" s="49"/>
      <c r="L26" s="49"/>
    </row>
    <row r="27" spans="1:14" s="10" customFormat="1" ht="27.75" customHeight="1" x14ac:dyDescent="0.35">
      <c r="A27" s="6"/>
      <c r="B27" s="14" t="s">
        <v>25</v>
      </c>
      <c r="C27" s="16">
        <f t="shared" ref="C27:H27" si="19">C28+C29</f>
        <v>8390</v>
      </c>
      <c r="D27" s="16">
        <f t="shared" si="19"/>
        <v>11375</v>
      </c>
      <c r="E27" s="16">
        <f t="shared" si="19"/>
        <v>11415</v>
      </c>
      <c r="F27" s="16">
        <f t="shared" si="19"/>
        <v>11071</v>
      </c>
      <c r="G27" s="16">
        <f t="shared" si="6"/>
        <v>42251</v>
      </c>
      <c r="H27" s="16">
        <f t="shared" si="19"/>
        <v>8753</v>
      </c>
      <c r="I27" s="16">
        <f t="shared" ref="I27:J27" si="20">I28+I29</f>
        <v>10474</v>
      </c>
      <c r="J27" s="16">
        <f t="shared" si="20"/>
        <v>9483</v>
      </c>
      <c r="K27" s="50"/>
      <c r="L27" s="50"/>
      <c r="M27" s="50"/>
      <c r="N27" s="50"/>
    </row>
    <row r="28" spans="1:14" s="22" customFormat="1" ht="27.75" customHeight="1" x14ac:dyDescent="0.35">
      <c r="A28" s="19"/>
      <c r="B28" s="20" t="s">
        <v>26</v>
      </c>
      <c r="C28" s="21">
        <v>8012</v>
      </c>
      <c r="D28" s="21">
        <v>10816</v>
      </c>
      <c r="E28" s="21">
        <v>10696</v>
      </c>
      <c r="F28" s="21">
        <v>10557</v>
      </c>
      <c r="G28" s="21">
        <f t="shared" si="6"/>
        <v>40081</v>
      </c>
      <c r="H28" s="21">
        <v>8357</v>
      </c>
      <c r="I28" s="21">
        <v>10157</v>
      </c>
      <c r="J28" s="21">
        <v>9097</v>
      </c>
      <c r="K28" s="50"/>
      <c r="L28" s="50"/>
      <c r="M28" s="50"/>
      <c r="N28" s="50"/>
    </row>
    <row r="29" spans="1:14" s="22" customFormat="1" ht="27.75" customHeight="1" x14ac:dyDescent="0.35">
      <c r="A29" s="19"/>
      <c r="B29" s="20" t="s">
        <v>27</v>
      </c>
      <c r="C29" s="21">
        <v>378</v>
      </c>
      <c r="D29" s="21">
        <v>559</v>
      </c>
      <c r="E29" s="21">
        <v>719</v>
      </c>
      <c r="F29" s="21">
        <v>514</v>
      </c>
      <c r="G29" s="21">
        <f t="shared" si="6"/>
        <v>2170</v>
      </c>
      <c r="H29" s="21">
        <v>396</v>
      </c>
      <c r="I29" s="21">
        <v>317</v>
      </c>
      <c r="J29" s="21">
        <v>386</v>
      </c>
      <c r="K29" s="54"/>
    </row>
    <row r="30" spans="1:14" s="10" customFormat="1" ht="27.75" customHeight="1" x14ac:dyDescent="0.35">
      <c r="A30" s="6"/>
      <c r="B30" s="14" t="s">
        <v>28</v>
      </c>
      <c r="C30" s="15">
        <f t="shared" ref="C30:H30" si="21">C31+C35+C38</f>
        <v>-17499</v>
      </c>
      <c r="D30" s="15">
        <f t="shared" si="21"/>
        <v>-17839</v>
      </c>
      <c r="E30" s="15">
        <f t="shared" si="21"/>
        <v>-19813</v>
      </c>
      <c r="F30" s="15">
        <f t="shared" si="21"/>
        <v>-21416</v>
      </c>
      <c r="G30" s="15">
        <f t="shared" si="6"/>
        <v>-76567</v>
      </c>
      <c r="H30" s="15">
        <f t="shared" si="21"/>
        <v>-19543</v>
      </c>
      <c r="I30" s="15">
        <f t="shared" ref="I30:J30" si="22">I31+I35+I38</f>
        <v>-18763</v>
      </c>
      <c r="J30" s="15">
        <f t="shared" si="22"/>
        <v>-19993</v>
      </c>
    </row>
    <row r="31" spans="1:14" s="10" customFormat="1" ht="27.75" customHeight="1" x14ac:dyDescent="0.35">
      <c r="A31" s="6"/>
      <c r="B31" s="14" t="s">
        <v>18</v>
      </c>
      <c r="C31" s="15">
        <f t="shared" ref="C31:H31" si="23">SUM(C32:C34)</f>
        <v>-4453</v>
      </c>
      <c r="D31" s="15">
        <f t="shared" si="23"/>
        <v>-4240</v>
      </c>
      <c r="E31" s="15">
        <f t="shared" si="23"/>
        <v>-4569</v>
      </c>
      <c r="F31" s="15">
        <f t="shared" si="23"/>
        <v>-5223</v>
      </c>
      <c r="G31" s="15">
        <f t="shared" si="6"/>
        <v>-18485</v>
      </c>
      <c r="H31" s="15">
        <f t="shared" si="23"/>
        <v>-5228</v>
      </c>
      <c r="I31" s="15">
        <f t="shared" ref="I31:J31" si="24">SUM(I32:I34)</f>
        <v>-4826</v>
      </c>
      <c r="J31" s="15">
        <f t="shared" si="24"/>
        <v>-5255</v>
      </c>
    </row>
    <row r="32" spans="1:14" s="22" customFormat="1" ht="27.75" customHeight="1" x14ac:dyDescent="0.35">
      <c r="A32" s="19"/>
      <c r="B32" s="20" t="s">
        <v>19</v>
      </c>
      <c r="C32" s="21">
        <v>-148</v>
      </c>
      <c r="D32" s="21">
        <v>-195</v>
      </c>
      <c r="E32" s="21">
        <v>-174</v>
      </c>
      <c r="F32" s="21">
        <v>-165</v>
      </c>
      <c r="G32" s="21">
        <f t="shared" si="6"/>
        <v>-682</v>
      </c>
      <c r="H32" s="21">
        <v>-628</v>
      </c>
      <c r="I32" s="21">
        <v>-594</v>
      </c>
      <c r="J32" s="21">
        <v>-613</v>
      </c>
    </row>
    <row r="33" spans="1:12" s="22" customFormat="1" ht="27.75" customHeight="1" x14ac:dyDescent="0.35">
      <c r="A33" s="19"/>
      <c r="B33" s="20" t="s">
        <v>20</v>
      </c>
      <c r="C33" s="21">
        <v>-2102</v>
      </c>
      <c r="D33" s="21">
        <v>-2391</v>
      </c>
      <c r="E33" s="21">
        <v>-2517</v>
      </c>
      <c r="F33" s="21">
        <v>-2875</v>
      </c>
      <c r="G33" s="21">
        <f t="shared" si="6"/>
        <v>-9885</v>
      </c>
      <c r="H33" s="21">
        <v>-2424</v>
      </c>
      <c r="I33" s="21">
        <v>-2550</v>
      </c>
      <c r="J33" s="21">
        <v>-2703</v>
      </c>
      <c r="K33" s="49"/>
    </row>
    <row r="34" spans="1:12" s="22" customFormat="1" ht="27.75" customHeight="1" x14ac:dyDescent="0.35">
      <c r="A34" s="19"/>
      <c r="B34" s="20" t="s">
        <v>21</v>
      </c>
      <c r="C34" s="21">
        <v>-2203</v>
      </c>
      <c r="D34" s="21">
        <v>-1654</v>
      </c>
      <c r="E34" s="21">
        <v>-1878</v>
      </c>
      <c r="F34" s="21">
        <v>-2183</v>
      </c>
      <c r="G34" s="21">
        <f t="shared" si="6"/>
        <v>-7918</v>
      </c>
      <c r="H34" s="21">
        <v>-2176</v>
      </c>
      <c r="I34" s="21">
        <v>-1682</v>
      </c>
      <c r="J34" s="21">
        <v>-1939</v>
      </c>
    </row>
    <row r="35" spans="1:12" s="10" customFormat="1" ht="27.75" customHeight="1" x14ac:dyDescent="0.35">
      <c r="A35" s="17"/>
      <c r="B35" s="14" t="s">
        <v>22</v>
      </c>
      <c r="C35" s="16">
        <f t="shared" ref="C35:H35" si="25">C36+C37</f>
        <v>-3551</v>
      </c>
      <c r="D35" s="16">
        <f t="shared" si="25"/>
        <v>-3291</v>
      </c>
      <c r="E35" s="16">
        <f t="shared" si="25"/>
        <v>-4099</v>
      </c>
      <c r="F35" s="16">
        <f t="shared" si="25"/>
        <v>-3785</v>
      </c>
      <c r="G35" s="16">
        <f t="shared" si="6"/>
        <v>-14726</v>
      </c>
      <c r="H35" s="16">
        <f t="shared" si="25"/>
        <v>-4563</v>
      </c>
      <c r="I35" s="16">
        <f t="shared" ref="I35:J35" si="26">I36+I37</f>
        <v>-4114</v>
      </c>
      <c r="J35" s="16">
        <f t="shared" si="26"/>
        <v>-5302</v>
      </c>
      <c r="K35" s="62"/>
      <c r="L35" s="62"/>
    </row>
    <row r="36" spans="1:12" s="22" customFormat="1" ht="27.75" customHeight="1" x14ac:dyDescent="0.35">
      <c r="A36" s="19"/>
      <c r="B36" s="20" t="s">
        <v>23</v>
      </c>
      <c r="C36" s="21">
        <v>-261</v>
      </c>
      <c r="D36" s="21">
        <v>-342</v>
      </c>
      <c r="E36" s="21">
        <v>-334</v>
      </c>
      <c r="F36" s="21">
        <v>-477</v>
      </c>
      <c r="G36" s="21">
        <f t="shared" si="6"/>
        <v>-1414</v>
      </c>
      <c r="H36" s="21">
        <v>-487</v>
      </c>
      <c r="I36" s="21">
        <v>-330</v>
      </c>
      <c r="J36" s="21">
        <v>-468</v>
      </c>
    </row>
    <row r="37" spans="1:12" s="22" customFormat="1" ht="27.75" customHeight="1" x14ac:dyDescent="0.35">
      <c r="A37" s="24"/>
      <c r="B37" s="20" t="s">
        <v>24</v>
      </c>
      <c r="C37" s="21">
        <v>-3290</v>
      </c>
      <c r="D37" s="21">
        <v>-2949</v>
      </c>
      <c r="E37" s="21">
        <v>-3765</v>
      </c>
      <c r="F37" s="21">
        <v>-3308</v>
      </c>
      <c r="G37" s="21">
        <f t="shared" si="6"/>
        <v>-13312</v>
      </c>
      <c r="H37" s="21">
        <v>-4076</v>
      </c>
      <c r="I37" s="21">
        <v>-3784</v>
      </c>
      <c r="J37" s="21">
        <v>-4834</v>
      </c>
      <c r="K37" s="49"/>
      <c r="L37" s="49"/>
    </row>
    <row r="38" spans="1:12" s="10" customFormat="1" ht="27.75" customHeight="1" x14ac:dyDescent="0.35">
      <c r="A38" s="6"/>
      <c r="B38" s="14" t="s">
        <v>25</v>
      </c>
      <c r="C38" s="25">
        <f t="shared" ref="C38:H38" si="27">C39+C40</f>
        <v>-9495</v>
      </c>
      <c r="D38" s="25">
        <f t="shared" si="27"/>
        <v>-10308</v>
      </c>
      <c r="E38" s="25">
        <f t="shared" si="27"/>
        <v>-11145</v>
      </c>
      <c r="F38" s="25">
        <f t="shared" si="27"/>
        <v>-12408</v>
      </c>
      <c r="G38" s="25">
        <f t="shared" si="6"/>
        <v>-43356</v>
      </c>
      <c r="H38" s="25">
        <f t="shared" si="27"/>
        <v>-9752</v>
      </c>
      <c r="I38" s="25">
        <f t="shared" ref="I38:J38" si="28">I39+I40</f>
        <v>-9823</v>
      </c>
      <c r="J38" s="25">
        <f t="shared" si="28"/>
        <v>-9436</v>
      </c>
    </row>
    <row r="39" spans="1:12" s="22" customFormat="1" ht="27.75" customHeight="1" x14ac:dyDescent="0.35">
      <c r="A39" s="24"/>
      <c r="B39" s="20" t="s">
        <v>26</v>
      </c>
      <c r="C39" s="23">
        <v>-8948</v>
      </c>
      <c r="D39" s="23">
        <v>-9727</v>
      </c>
      <c r="E39" s="23">
        <v>-10517</v>
      </c>
      <c r="F39" s="23">
        <v>-11983</v>
      </c>
      <c r="G39" s="23">
        <f t="shared" si="6"/>
        <v>-41175</v>
      </c>
      <c r="H39" s="23">
        <v>-8970</v>
      </c>
      <c r="I39" s="23">
        <v>-9458</v>
      </c>
      <c r="J39" s="23">
        <v>-9148</v>
      </c>
      <c r="K39" s="54"/>
    </row>
    <row r="40" spans="1:12" s="22" customFormat="1" ht="27.75" customHeight="1" x14ac:dyDescent="0.35">
      <c r="A40" s="24"/>
      <c r="B40" s="20" t="s">
        <v>27</v>
      </c>
      <c r="C40" s="23">
        <v>-547</v>
      </c>
      <c r="D40" s="23">
        <v>-581</v>
      </c>
      <c r="E40" s="23">
        <v>-628</v>
      </c>
      <c r="F40" s="23">
        <v>-425</v>
      </c>
      <c r="G40" s="23">
        <f t="shared" si="6"/>
        <v>-2181</v>
      </c>
      <c r="H40" s="23">
        <v>-782</v>
      </c>
      <c r="I40" s="23">
        <v>-365</v>
      </c>
      <c r="J40" s="23">
        <v>-288</v>
      </c>
    </row>
    <row r="41" spans="1:12" s="10" customFormat="1" ht="27.75" customHeight="1" x14ac:dyDescent="0.3">
      <c r="A41" s="6" t="s">
        <v>29</v>
      </c>
      <c r="B41" s="11" t="s">
        <v>30</v>
      </c>
      <c r="C41" s="26">
        <f t="shared" ref="C41:H41" si="29">C42+C59</f>
        <v>3620</v>
      </c>
      <c r="D41" s="26">
        <f t="shared" si="29"/>
        <v>6844</v>
      </c>
      <c r="E41" s="26">
        <f t="shared" si="29"/>
        <v>6800</v>
      </c>
      <c r="F41" s="26">
        <f t="shared" si="29"/>
        <v>15603</v>
      </c>
      <c r="G41" s="26">
        <f t="shared" si="6"/>
        <v>32867</v>
      </c>
      <c r="H41" s="26">
        <f t="shared" si="29"/>
        <v>4300</v>
      </c>
      <c r="I41" s="26">
        <f t="shared" ref="I41:J41" si="30">I42+I59</f>
        <v>7355.9532687597675</v>
      </c>
      <c r="J41" s="26">
        <f t="shared" si="30"/>
        <v>7879</v>
      </c>
    </row>
    <row r="42" spans="1:12" s="10" customFormat="1" ht="27.75" customHeight="1" x14ac:dyDescent="0.35">
      <c r="A42" s="6"/>
      <c r="B42" s="14" t="s">
        <v>31</v>
      </c>
      <c r="C42" s="15">
        <f t="shared" ref="C42:H42" si="31">C43+C44+C46+C48</f>
        <v>44287</v>
      </c>
      <c r="D42" s="15">
        <f t="shared" si="31"/>
        <v>56222</v>
      </c>
      <c r="E42" s="15">
        <f t="shared" si="31"/>
        <v>51203</v>
      </c>
      <c r="F42" s="15">
        <f t="shared" si="31"/>
        <v>56350</v>
      </c>
      <c r="G42" s="15">
        <f t="shared" si="6"/>
        <v>208062</v>
      </c>
      <c r="H42" s="15">
        <f t="shared" si="31"/>
        <v>49090</v>
      </c>
      <c r="I42" s="15">
        <f t="shared" ref="I42:J42" si="32">I43+I44+I46+I48</f>
        <v>59265.869497846521</v>
      </c>
      <c r="J42" s="15">
        <f t="shared" si="32"/>
        <v>55029</v>
      </c>
    </row>
    <row r="43" spans="1:12" s="10" customFormat="1" ht="27.75" customHeight="1" x14ac:dyDescent="0.35">
      <c r="A43" s="6"/>
      <c r="B43" s="14" t="s">
        <v>32</v>
      </c>
      <c r="C43" s="15">
        <v>4</v>
      </c>
      <c r="D43" s="15">
        <v>3</v>
      </c>
      <c r="E43" s="15">
        <v>2</v>
      </c>
      <c r="F43" s="15">
        <v>17</v>
      </c>
      <c r="G43" s="15">
        <f t="shared" si="6"/>
        <v>26</v>
      </c>
      <c r="H43" s="15">
        <v>11</v>
      </c>
      <c r="I43" s="15">
        <v>13</v>
      </c>
      <c r="J43" s="15">
        <v>11</v>
      </c>
    </row>
    <row r="44" spans="1:12" s="10" customFormat="1" ht="27.75" customHeight="1" x14ac:dyDescent="0.35">
      <c r="A44" s="6"/>
      <c r="B44" s="14" t="s">
        <v>33</v>
      </c>
      <c r="C44" s="15">
        <f>51+C45</f>
        <v>26125</v>
      </c>
      <c r="D44" s="15">
        <f>114+D45</f>
        <v>33932</v>
      </c>
      <c r="E44" s="15">
        <f>235+E45</f>
        <v>30917</v>
      </c>
      <c r="F44" s="15">
        <f>121+F45</f>
        <v>33662</v>
      </c>
      <c r="G44" s="15">
        <f t="shared" si="6"/>
        <v>124636</v>
      </c>
      <c r="H44" s="15">
        <f>145+H45</f>
        <v>28044</v>
      </c>
      <c r="I44" s="15">
        <f>304+I45</f>
        <v>34041.631655166668</v>
      </c>
      <c r="J44" s="15">
        <f>43+J45</f>
        <v>33204</v>
      </c>
    </row>
    <row r="45" spans="1:12" s="22" customFormat="1" ht="24.75" customHeight="1" x14ac:dyDescent="0.35">
      <c r="A45" s="34"/>
      <c r="B45" s="20" t="s">
        <v>34</v>
      </c>
      <c r="C45" s="21">
        <v>26074</v>
      </c>
      <c r="D45" s="21">
        <v>33818</v>
      </c>
      <c r="E45" s="21">
        <v>30682</v>
      </c>
      <c r="F45" s="21">
        <v>33541</v>
      </c>
      <c r="G45" s="21">
        <f t="shared" si="6"/>
        <v>124115</v>
      </c>
      <c r="H45" s="21">
        <v>27899</v>
      </c>
      <c r="I45" s="21">
        <v>33737.631655166668</v>
      </c>
      <c r="J45" s="21">
        <v>33161</v>
      </c>
    </row>
    <row r="46" spans="1:12" s="10" customFormat="1" ht="27.75" customHeight="1" x14ac:dyDescent="0.35">
      <c r="A46" s="6"/>
      <c r="B46" s="14" t="s">
        <v>35</v>
      </c>
      <c r="C46" s="15">
        <f>250+C47</f>
        <v>10591</v>
      </c>
      <c r="D46" s="15">
        <f>576+D47</f>
        <v>13988</v>
      </c>
      <c r="E46" s="15">
        <f>345+E47</f>
        <v>12513</v>
      </c>
      <c r="F46" s="15">
        <f>474+F47</f>
        <v>13776</v>
      </c>
      <c r="G46" s="15">
        <f t="shared" si="6"/>
        <v>50868</v>
      </c>
      <c r="H46" s="15">
        <f>965+H47</f>
        <v>13374</v>
      </c>
      <c r="I46" s="15">
        <f>474+I47</f>
        <v>15228.550749563747</v>
      </c>
      <c r="J46" s="15">
        <f>236+J47</f>
        <v>13359</v>
      </c>
    </row>
    <row r="47" spans="1:12" s="22" customFormat="1" ht="24.75" customHeight="1" x14ac:dyDescent="0.35">
      <c r="A47" s="34"/>
      <c r="B47" s="20" t="s">
        <v>34</v>
      </c>
      <c r="C47" s="21">
        <v>10341</v>
      </c>
      <c r="D47" s="21">
        <v>13412</v>
      </c>
      <c r="E47" s="21">
        <v>12168</v>
      </c>
      <c r="F47" s="21">
        <v>13302</v>
      </c>
      <c r="G47" s="21">
        <f t="shared" si="6"/>
        <v>49223</v>
      </c>
      <c r="H47" s="21">
        <v>12409</v>
      </c>
      <c r="I47" s="21">
        <v>14754.550749563747</v>
      </c>
      <c r="J47" s="21">
        <v>13123</v>
      </c>
    </row>
    <row r="48" spans="1:12" s="10" customFormat="1" ht="27.75" customHeight="1" x14ac:dyDescent="0.35">
      <c r="A48" s="17"/>
      <c r="B48" s="14" t="s">
        <v>36</v>
      </c>
      <c r="C48" s="15">
        <f t="shared" ref="C48:F48" si="33">SUM(C49:C52)</f>
        <v>7567</v>
      </c>
      <c r="D48" s="15">
        <f t="shared" si="33"/>
        <v>8299</v>
      </c>
      <c r="E48" s="15">
        <f t="shared" si="33"/>
        <v>7771</v>
      </c>
      <c r="F48" s="15">
        <f t="shared" si="33"/>
        <v>8895</v>
      </c>
      <c r="G48" s="15">
        <f t="shared" si="6"/>
        <v>32532</v>
      </c>
      <c r="H48" s="15">
        <f>SUM(H49:H52)</f>
        <v>7661</v>
      </c>
      <c r="I48" s="15">
        <f>SUM(I49:I52)</f>
        <v>9982.6870931161102</v>
      </c>
      <c r="J48" s="15">
        <f>SUM(J49:J52)</f>
        <v>8455</v>
      </c>
    </row>
    <row r="49" spans="1:10" s="22" customFormat="1" ht="27.75" customHeight="1" x14ac:dyDescent="0.35">
      <c r="A49" s="24"/>
      <c r="B49" s="20" t="s">
        <v>37</v>
      </c>
      <c r="C49" s="15">
        <v>0</v>
      </c>
      <c r="D49" s="15">
        <v>0</v>
      </c>
      <c r="E49" s="15">
        <v>0</v>
      </c>
      <c r="F49" s="15">
        <v>0</v>
      </c>
      <c r="G49" s="15">
        <f t="shared" si="6"/>
        <v>0</v>
      </c>
      <c r="H49" s="16">
        <v>0</v>
      </c>
      <c r="I49" s="16">
        <v>0</v>
      </c>
      <c r="J49" s="16">
        <v>0</v>
      </c>
    </row>
    <row r="50" spans="1:10" s="22" customFormat="1" ht="27.75" customHeight="1" x14ac:dyDescent="0.35">
      <c r="A50" s="24"/>
      <c r="B50" s="20" t="s">
        <v>38</v>
      </c>
      <c r="C50" s="15">
        <v>166</v>
      </c>
      <c r="D50" s="15">
        <v>201</v>
      </c>
      <c r="E50" s="15">
        <v>209</v>
      </c>
      <c r="F50" s="15">
        <v>202</v>
      </c>
      <c r="G50" s="15">
        <f t="shared" si="6"/>
        <v>778</v>
      </c>
      <c r="H50" s="16">
        <v>271</v>
      </c>
      <c r="I50" s="16">
        <v>350</v>
      </c>
      <c r="J50" s="16">
        <v>336</v>
      </c>
    </row>
    <row r="51" spans="1:10" s="22" customFormat="1" ht="27.75" customHeight="1" x14ac:dyDescent="0.35">
      <c r="A51" s="24"/>
      <c r="B51" s="20" t="s">
        <v>39</v>
      </c>
      <c r="C51" s="15">
        <v>3494</v>
      </c>
      <c r="D51" s="15">
        <v>3548</v>
      </c>
      <c r="E51" s="15">
        <v>3425</v>
      </c>
      <c r="F51" s="15">
        <v>4124</v>
      </c>
      <c r="G51" s="15">
        <f t="shared" si="6"/>
        <v>14591</v>
      </c>
      <c r="H51" s="16">
        <v>3750</v>
      </c>
      <c r="I51" s="16">
        <v>4009</v>
      </c>
      <c r="J51" s="16">
        <v>3738</v>
      </c>
    </row>
    <row r="52" spans="1:10" s="22" customFormat="1" ht="27.75" customHeight="1" x14ac:dyDescent="0.35">
      <c r="A52" s="24"/>
      <c r="B52" s="20" t="s">
        <v>40</v>
      </c>
      <c r="C52" s="15">
        <f>412+C53</f>
        <v>3907</v>
      </c>
      <c r="D52" s="15">
        <f>18+D53</f>
        <v>4550</v>
      </c>
      <c r="E52" s="15">
        <f>25+E53</f>
        <v>4137</v>
      </c>
      <c r="F52" s="15">
        <f>74+F53</f>
        <v>4569</v>
      </c>
      <c r="G52" s="15">
        <f t="shared" si="6"/>
        <v>17163</v>
      </c>
      <c r="H52" s="16">
        <f>83+H53</f>
        <v>3640</v>
      </c>
      <c r="I52" s="16">
        <f>107+I53</f>
        <v>5623.6870931161102</v>
      </c>
      <c r="J52" s="16">
        <f>41+J53</f>
        <v>4381</v>
      </c>
    </row>
    <row r="53" spans="1:10" s="22" customFormat="1" ht="27.75" customHeight="1" thickBot="1" x14ac:dyDescent="0.4">
      <c r="A53" s="27"/>
      <c r="B53" s="55" t="s">
        <v>34</v>
      </c>
      <c r="C53" s="56">
        <v>3495</v>
      </c>
      <c r="D53" s="56">
        <v>4532</v>
      </c>
      <c r="E53" s="56">
        <v>4112</v>
      </c>
      <c r="F53" s="56">
        <v>4495</v>
      </c>
      <c r="G53" s="56">
        <f t="shared" si="6"/>
        <v>16634</v>
      </c>
      <c r="H53" s="48">
        <v>3557</v>
      </c>
      <c r="I53" s="48">
        <v>5516.6870931161102</v>
      </c>
      <c r="J53" s="48">
        <v>4340</v>
      </c>
    </row>
    <row r="54" spans="1:10" ht="43.5" customHeight="1" x14ac:dyDescent="0.3">
      <c r="A54" s="28" t="s">
        <v>41</v>
      </c>
      <c r="B54" s="22"/>
    </row>
    <row r="55" spans="1:10" ht="39" customHeight="1" thickBot="1" x14ac:dyDescent="0.4">
      <c r="A55" s="29"/>
      <c r="C55" s="4"/>
      <c r="D55" s="4"/>
      <c r="H55" s="4"/>
      <c r="I55" s="4"/>
      <c r="J55" s="4" t="s">
        <v>0</v>
      </c>
    </row>
    <row r="56" spans="1:10" s="10" customFormat="1" ht="41.25" customHeight="1" thickBot="1" x14ac:dyDescent="0.35">
      <c r="A56" s="74"/>
      <c r="B56" s="79"/>
      <c r="C56" s="67" t="s">
        <v>81</v>
      </c>
      <c r="D56" s="78"/>
      <c r="E56" s="78"/>
      <c r="F56" s="78"/>
      <c r="G56" s="72" t="s">
        <v>82</v>
      </c>
      <c r="H56" s="67">
        <v>2015</v>
      </c>
      <c r="I56" s="68"/>
      <c r="J56" s="69"/>
    </row>
    <row r="57" spans="1:10" s="10" customFormat="1" ht="54.75" customHeight="1" x14ac:dyDescent="0.3">
      <c r="A57" s="75"/>
      <c r="B57" s="80"/>
      <c r="C57" s="53" t="s">
        <v>42</v>
      </c>
      <c r="D57" s="53" t="s">
        <v>43</v>
      </c>
      <c r="E57" s="30" t="s">
        <v>3</v>
      </c>
      <c r="F57" s="30" t="s">
        <v>80</v>
      </c>
      <c r="G57" s="73"/>
      <c r="H57" s="53" t="s">
        <v>84</v>
      </c>
      <c r="I57" s="53" t="s">
        <v>88</v>
      </c>
      <c r="J57" s="53" t="s">
        <v>85</v>
      </c>
    </row>
    <row r="58" spans="1:10" s="10" customFormat="1" ht="21" customHeight="1" x14ac:dyDescent="0.35">
      <c r="A58" s="6"/>
      <c r="B58" s="31"/>
      <c r="C58" s="16"/>
      <c r="D58" s="16"/>
      <c r="E58" s="16"/>
      <c r="F58" s="16"/>
      <c r="G58" s="9"/>
      <c r="H58" s="9"/>
      <c r="I58" s="9"/>
      <c r="J58" s="9"/>
    </row>
    <row r="59" spans="1:10" s="10" customFormat="1" ht="24.75" customHeight="1" x14ac:dyDescent="0.35">
      <c r="A59" s="32"/>
      <c r="B59" s="14" t="s">
        <v>28</v>
      </c>
      <c r="C59" s="16">
        <f t="shared" ref="C59:F59" si="34">C60+C61+C63+C65</f>
        <v>-40667</v>
      </c>
      <c r="D59" s="16">
        <f t="shared" si="34"/>
        <v>-49378</v>
      </c>
      <c r="E59" s="16">
        <f t="shared" si="34"/>
        <v>-44403</v>
      </c>
      <c r="F59" s="16">
        <f t="shared" si="34"/>
        <v>-40747</v>
      </c>
      <c r="G59" s="16">
        <f>C59+D59+E59+F59</f>
        <v>-175195</v>
      </c>
      <c r="H59" s="16">
        <f>H60+H61+H63+H65</f>
        <v>-44790</v>
      </c>
      <c r="I59" s="16">
        <f>I60+I61+I63+I65</f>
        <v>-51909.916229086753</v>
      </c>
      <c r="J59" s="16">
        <f>J60+J61+J63+J65</f>
        <v>-47150</v>
      </c>
    </row>
    <row r="60" spans="1:10" s="10" customFormat="1" ht="24.75" customHeight="1" x14ac:dyDescent="0.35">
      <c r="A60" s="32"/>
      <c r="B60" s="14" t="s">
        <v>44</v>
      </c>
      <c r="C60" s="33">
        <v>-58</v>
      </c>
      <c r="D60" s="33">
        <v>-75</v>
      </c>
      <c r="E60" s="33">
        <v>-62</v>
      </c>
      <c r="F60" s="33">
        <v>-76</v>
      </c>
      <c r="G60" s="33">
        <f t="shared" ref="G60:G120" si="35">C60+D60+E60+F60</f>
        <v>-271</v>
      </c>
      <c r="H60" s="16">
        <v>-58</v>
      </c>
      <c r="I60" s="16">
        <v>-68</v>
      </c>
      <c r="J60" s="16">
        <v>-56</v>
      </c>
    </row>
    <row r="61" spans="1:10" s="10" customFormat="1" ht="24.75" customHeight="1" x14ac:dyDescent="0.35">
      <c r="A61" s="32"/>
      <c r="B61" s="14" t="s">
        <v>33</v>
      </c>
      <c r="C61" s="33">
        <f>-555+C62</f>
        <v>-30304</v>
      </c>
      <c r="D61" s="33">
        <f>-1396+D62</f>
        <v>-34523</v>
      </c>
      <c r="E61" s="33">
        <f>-3163+E62</f>
        <v>-34022</v>
      </c>
      <c r="F61" s="33">
        <f>-1759+F62</f>
        <v>-29783</v>
      </c>
      <c r="G61" s="33">
        <f t="shared" si="35"/>
        <v>-128632</v>
      </c>
      <c r="H61" s="16">
        <f>-715+H62</f>
        <v>-33439</v>
      </c>
      <c r="I61" s="16">
        <f>-3119+I62</f>
        <v>-39557.804694516773</v>
      </c>
      <c r="J61" s="16">
        <f>-1127+J62</f>
        <v>-35538</v>
      </c>
    </row>
    <row r="62" spans="1:10" s="22" customFormat="1" ht="24.75" customHeight="1" x14ac:dyDescent="0.35">
      <c r="A62" s="34"/>
      <c r="B62" s="20" t="s">
        <v>34</v>
      </c>
      <c r="C62" s="21">
        <v>-29749</v>
      </c>
      <c r="D62" s="21">
        <v>-33127</v>
      </c>
      <c r="E62" s="21">
        <v>-30859</v>
      </c>
      <c r="F62" s="21">
        <v>-28024</v>
      </c>
      <c r="G62" s="21">
        <f t="shared" si="35"/>
        <v>-121759</v>
      </c>
      <c r="H62" s="21">
        <v>-32724</v>
      </c>
      <c r="I62" s="21">
        <v>-36438.804694516773</v>
      </c>
      <c r="J62" s="21">
        <v>-34411</v>
      </c>
    </row>
    <row r="63" spans="1:10" s="10" customFormat="1" ht="24.75" customHeight="1" x14ac:dyDescent="0.35">
      <c r="A63" s="32"/>
      <c r="B63" s="14" t="s">
        <v>35</v>
      </c>
      <c r="C63" s="33">
        <f>-189+C64</f>
        <v>-1846</v>
      </c>
      <c r="D63" s="33">
        <f>-4258+D64</f>
        <v>-6103</v>
      </c>
      <c r="E63" s="33">
        <f>-296+E64</f>
        <v>-2015</v>
      </c>
      <c r="F63" s="33">
        <f>-1269+F64</f>
        <v>-2830</v>
      </c>
      <c r="G63" s="33">
        <f t="shared" si="35"/>
        <v>-12794</v>
      </c>
      <c r="H63" s="16">
        <f>-842+H64</f>
        <v>-2665</v>
      </c>
      <c r="I63" s="16">
        <f>-866+I64</f>
        <v>-2850.0023486281748</v>
      </c>
      <c r="J63" s="16">
        <f>-609+J64</f>
        <v>-2472</v>
      </c>
    </row>
    <row r="64" spans="1:10" s="22" customFormat="1" ht="24.75" customHeight="1" x14ac:dyDescent="0.35">
      <c r="A64" s="34"/>
      <c r="B64" s="20" t="s">
        <v>34</v>
      </c>
      <c r="C64" s="21">
        <v>-1657</v>
      </c>
      <c r="D64" s="21">
        <v>-1845</v>
      </c>
      <c r="E64" s="21">
        <v>-1719</v>
      </c>
      <c r="F64" s="21">
        <v>-1561</v>
      </c>
      <c r="G64" s="21">
        <f t="shared" si="35"/>
        <v>-6782</v>
      </c>
      <c r="H64" s="21">
        <v>-1823</v>
      </c>
      <c r="I64" s="21">
        <v>-1984.0023486281748</v>
      </c>
      <c r="J64" s="21">
        <v>-1863</v>
      </c>
    </row>
    <row r="65" spans="1:16" s="10" customFormat="1" ht="24.75" customHeight="1" x14ac:dyDescent="0.35">
      <c r="A65" s="32"/>
      <c r="B65" s="14" t="s">
        <v>36</v>
      </c>
      <c r="C65" s="33">
        <f t="shared" ref="C65:F65" si="36">SUM(C66:C69)</f>
        <v>-8459</v>
      </c>
      <c r="D65" s="33">
        <f t="shared" si="36"/>
        <v>-8677</v>
      </c>
      <c r="E65" s="33">
        <f t="shared" si="36"/>
        <v>-8304</v>
      </c>
      <c r="F65" s="33">
        <f t="shared" si="36"/>
        <v>-8058</v>
      </c>
      <c r="G65" s="33">
        <f t="shared" si="35"/>
        <v>-33498</v>
      </c>
      <c r="H65" s="33">
        <f>SUM(H66:H69)</f>
        <v>-8628</v>
      </c>
      <c r="I65" s="33">
        <f>SUM(I66:I69)</f>
        <v>-9434.1091859418048</v>
      </c>
      <c r="J65" s="33">
        <f>SUM(J66:J69)</f>
        <v>-9084</v>
      </c>
    </row>
    <row r="66" spans="1:16" s="22" customFormat="1" ht="24.75" customHeight="1" x14ac:dyDescent="0.35">
      <c r="A66" s="34"/>
      <c r="B66" s="20" t="s">
        <v>37</v>
      </c>
      <c r="C66" s="33">
        <v>-237</v>
      </c>
      <c r="D66" s="33">
        <v>-74</v>
      </c>
      <c r="E66" s="33">
        <v>-259</v>
      </c>
      <c r="F66" s="33">
        <v>-95</v>
      </c>
      <c r="G66" s="33">
        <f t="shared" si="35"/>
        <v>-665</v>
      </c>
      <c r="H66" s="16">
        <v>-251</v>
      </c>
      <c r="I66" s="16">
        <v>-96</v>
      </c>
      <c r="J66" s="16">
        <v>-248</v>
      </c>
    </row>
    <row r="67" spans="1:16" s="22" customFormat="1" ht="24.75" customHeight="1" x14ac:dyDescent="0.35">
      <c r="A67" s="34"/>
      <c r="B67" s="20" t="s">
        <v>38</v>
      </c>
      <c r="C67" s="33">
        <v>0</v>
      </c>
      <c r="D67" s="33">
        <v>0</v>
      </c>
      <c r="E67" s="33">
        <v>0</v>
      </c>
      <c r="F67" s="33">
        <v>0</v>
      </c>
      <c r="G67" s="33">
        <f t="shared" si="35"/>
        <v>0</v>
      </c>
      <c r="H67" s="16">
        <v>0</v>
      </c>
      <c r="I67" s="16">
        <v>0</v>
      </c>
      <c r="J67" s="16">
        <v>0</v>
      </c>
    </row>
    <row r="68" spans="1:16" s="22" customFormat="1" ht="24.75" customHeight="1" x14ac:dyDescent="0.35">
      <c r="A68" s="34"/>
      <c r="B68" s="20" t="s">
        <v>39</v>
      </c>
      <c r="C68" s="33">
        <v>-1241</v>
      </c>
      <c r="D68" s="33">
        <v>-1156</v>
      </c>
      <c r="E68" s="33">
        <v>-1044</v>
      </c>
      <c r="F68" s="33">
        <v>-1320</v>
      </c>
      <c r="G68" s="33">
        <f t="shared" si="35"/>
        <v>-4761</v>
      </c>
      <c r="H68" s="16">
        <v>-1255</v>
      </c>
      <c r="I68" s="16">
        <v>-1411</v>
      </c>
      <c r="J68" s="16">
        <v>-1145</v>
      </c>
    </row>
    <row r="69" spans="1:16" s="22" customFormat="1" ht="24.75" customHeight="1" x14ac:dyDescent="0.35">
      <c r="A69" s="34"/>
      <c r="B69" s="20" t="s">
        <v>40</v>
      </c>
      <c r="C69" s="33">
        <f>-1339+C70</f>
        <v>-6981</v>
      </c>
      <c r="D69" s="33">
        <f>-1164+D70</f>
        <v>-7447</v>
      </c>
      <c r="E69" s="33">
        <f>-1149+E70</f>
        <v>-7001</v>
      </c>
      <c r="F69" s="33">
        <f>-1328+F70</f>
        <v>-6643</v>
      </c>
      <c r="G69" s="33">
        <f t="shared" si="35"/>
        <v>-28072</v>
      </c>
      <c r="H69" s="16">
        <f>-1378+H70</f>
        <v>-7122</v>
      </c>
      <c r="I69" s="16">
        <f>-1416+I70</f>
        <v>-7927.1091859418057</v>
      </c>
      <c r="J69" s="16">
        <f>-1275+J70</f>
        <v>-7691</v>
      </c>
    </row>
    <row r="70" spans="1:16" s="22" customFormat="1" ht="24.75" customHeight="1" x14ac:dyDescent="0.35">
      <c r="A70" s="34"/>
      <c r="B70" s="20" t="s">
        <v>34</v>
      </c>
      <c r="C70" s="21">
        <v>-5642</v>
      </c>
      <c r="D70" s="21">
        <v>-6283</v>
      </c>
      <c r="E70" s="21">
        <v>-5852</v>
      </c>
      <c r="F70" s="21">
        <v>-5315</v>
      </c>
      <c r="G70" s="21">
        <f t="shared" si="35"/>
        <v>-23092</v>
      </c>
      <c r="H70" s="21">
        <v>-5744</v>
      </c>
      <c r="I70" s="21">
        <v>-6511.1091859418057</v>
      </c>
      <c r="J70" s="21">
        <v>-6416</v>
      </c>
    </row>
    <row r="71" spans="1:16" s="10" customFormat="1" ht="24.75" customHeight="1" x14ac:dyDescent="0.3">
      <c r="A71" s="32" t="s">
        <v>45</v>
      </c>
      <c r="B71" s="11" t="s">
        <v>46</v>
      </c>
      <c r="C71" s="26">
        <f>C72+C75</f>
        <v>-2190</v>
      </c>
      <c r="D71" s="26">
        <f t="shared" ref="D71:F71" si="37">D72+D75</f>
        <v>-1741</v>
      </c>
      <c r="E71" s="26">
        <f t="shared" si="37"/>
        <v>-674</v>
      </c>
      <c r="F71" s="26">
        <f t="shared" si="37"/>
        <v>-1846</v>
      </c>
      <c r="G71" s="26">
        <f t="shared" si="35"/>
        <v>-6451</v>
      </c>
      <c r="H71" s="26">
        <f>H72+H75</f>
        <v>-1861</v>
      </c>
      <c r="I71" s="26">
        <f>I72+I75</f>
        <v>-2312</v>
      </c>
      <c r="J71" s="26">
        <f>J72+J75</f>
        <v>-1717</v>
      </c>
    </row>
    <row r="72" spans="1:16" s="10" customFormat="1" ht="24.75" customHeight="1" x14ac:dyDescent="0.35">
      <c r="A72" s="32"/>
      <c r="B72" s="14" t="s">
        <v>17</v>
      </c>
      <c r="C72" s="33">
        <f t="shared" ref="C72:F72" si="38">C73+C74</f>
        <v>2749</v>
      </c>
      <c r="D72" s="33">
        <f t="shared" si="38"/>
        <v>2523</v>
      </c>
      <c r="E72" s="33">
        <f t="shared" si="38"/>
        <v>2928</v>
      </c>
      <c r="F72" s="33">
        <f t="shared" si="38"/>
        <v>2571</v>
      </c>
      <c r="G72" s="33">
        <f t="shared" si="35"/>
        <v>10771</v>
      </c>
      <c r="H72" s="33">
        <f>H73+H74</f>
        <v>2581</v>
      </c>
      <c r="I72" s="33">
        <f>I73+I74</f>
        <v>2247</v>
      </c>
      <c r="J72" s="33">
        <f>J73+J74</f>
        <v>2540</v>
      </c>
    </row>
    <row r="73" spans="1:16" s="10" customFormat="1" ht="24.75" customHeight="1" x14ac:dyDescent="0.35">
      <c r="A73" s="32"/>
      <c r="B73" s="14" t="s">
        <v>47</v>
      </c>
      <c r="C73" s="16">
        <v>2625</v>
      </c>
      <c r="D73" s="16">
        <v>2299</v>
      </c>
      <c r="E73" s="16">
        <v>2825</v>
      </c>
      <c r="F73" s="16">
        <v>2235</v>
      </c>
      <c r="G73" s="16">
        <f t="shared" si="35"/>
        <v>9984</v>
      </c>
      <c r="H73" s="16">
        <v>1568</v>
      </c>
      <c r="I73" s="16">
        <v>1930</v>
      </c>
      <c r="J73" s="16">
        <v>2426</v>
      </c>
    </row>
    <row r="74" spans="1:16" s="10" customFormat="1" ht="24.75" customHeight="1" x14ac:dyDescent="0.35">
      <c r="A74" s="32"/>
      <c r="B74" s="14" t="s">
        <v>48</v>
      </c>
      <c r="C74" s="33">
        <v>124</v>
      </c>
      <c r="D74" s="33">
        <v>224</v>
      </c>
      <c r="E74" s="33">
        <v>103</v>
      </c>
      <c r="F74" s="33">
        <v>336</v>
      </c>
      <c r="G74" s="33">
        <f t="shared" si="35"/>
        <v>787</v>
      </c>
      <c r="H74" s="16">
        <v>1013</v>
      </c>
      <c r="I74" s="16">
        <v>317</v>
      </c>
      <c r="J74" s="16">
        <v>114</v>
      </c>
    </row>
    <row r="75" spans="1:16" s="10" customFormat="1" ht="24.75" customHeight="1" x14ac:dyDescent="0.35">
      <c r="A75" s="32"/>
      <c r="B75" s="14" t="s">
        <v>28</v>
      </c>
      <c r="C75" s="33">
        <f t="shared" ref="C75:F75" si="39">C76+C78</f>
        <v>-4939</v>
      </c>
      <c r="D75" s="33">
        <f t="shared" si="39"/>
        <v>-4264</v>
      </c>
      <c r="E75" s="33">
        <f t="shared" si="39"/>
        <v>-3602</v>
      </c>
      <c r="F75" s="33">
        <f t="shared" si="39"/>
        <v>-4417</v>
      </c>
      <c r="G75" s="33">
        <f t="shared" si="35"/>
        <v>-17222</v>
      </c>
      <c r="H75" s="33">
        <f>H76+H78</f>
        <v>-4442</v>
      </c>
      <c r="I75" s="33">
        <f>I76+I78</f>
        <v>-4559</v>
      </c>
      <c r="J75" s="33">
        <f>J76+J78</f>
        <v>-4257</v>
      </c>
    </row>
    <row r="76" spans="1:16" s="10" customFormat="1" ht="24.75" customHeight="1" x14ac:dyDescent="0.35">
      <c r="A76" s="32"/>
      <c r="B76" s="14" t="s">
        <v>47</v>
      </c>
      <c r="C76" s="16">
        <f>-2012+C77</f>
        <v>-4904</v>
      </c>
      <c r="D76" s="16">
        <f>-1932+D77</f>
        <v>-4149</v>
      </c>
      <c r="E76" s="16">
        <f>-1578+E77</f>
        <v>-3506</v>
      </c>
      <c r="F76" s="16">
        <f>-1759+F77</f>
        <v>-4362</v>
      </c>
      <c r="G76" s="16">
        <f t="shared" si="35"/>
        <v>-16921</v>
      </c>
      <c r="H76" s="16">
        <f>-1474+H77</f>
        <v>-4418</v>
      </c>
      <c r="I76" s="16">
        <f>-1776+I77</f>
        <v>-4539</v>
      </c>
      <c r="J76" s="16">
        <f>-2112+J77</f>
        <v>-4235</v>
      </c>
      <c r="L76" s="62"/>
    </row>
    <row r="77" spans="1:16" s="22" customFormat="1" ht="24.75" customHeight="1" x14ac:dyDescent="0.35">
      <c r="A77" s="34"/>
      <c r="B77" s="20" t="s">
        <v>34</v>
      </c>
      <c r="C77" s="21">
        <v>-2892</v>
      </c>
      <c r="D77" s="21">
        <v>-2217</v>
      </c>
      <c r="E77" s="21">
        <v>-1928</v>
      </c>
      <c r="F77" s="21">
        <v>-2603</v>
      </c>
      <c r="G77" s="21">
        <f t="shared" si="35"/>
        <v>-9640</v>
      </c>
      <c r="H77" s="21">
        <v>-2944</v>
      </c>
      <c r="I77" s="21">
        <v>-2763</v>
      </c>
      <c r="J77" s="21">
        <v>-2123</v>
      </c>
    </row>
    <row r="78" spans="1:16" s="10" customFormat="1" ht="24.75" customHeight="1" x14ac:dyDescent="0.35">
      <c r="A78" s="32"/>
      <c r="B78" s="14" t="s">
        <v>48</v>
      </c>
      <c r="C78" s="16">
        <v>-35</v>
      </c>
      <c r="D78" s="16">
        <v>-115</v>
      </c>
      <c r="E78" s="16">
        <v>-96</v>
      </c>
      <c r="F78" s="16">
        <v>-55</v>
      </c>
      <c r="G78" s="16">
        <f t="shared" si="35"/>
        <v>-301</v>
      </c>
      <c r="H78" s="16">
        <v>-24</v>
      </c>
      <c r="I78" s="16">
        <v>-20</v>
      </c>
      <c r="J78" s="16">
        <v>-22</v>
      </c>
    </row>
    <row r="79" spans="1:16" s="10" customFormat="1" ht="24.75" customHeight="1" x14ac:dyDescent="0.3">
      <c r="A79" s="32" t="s">
        <v>49</v>
      </c>
      <c r="B79" s="11" t="s">
        <v>50</v>
      </c>
      <c r="C79" s="37">
        <f t="shared" ref="C79:F79" si="40">C80+C82</f>
        <v>14128.675717218965</v>
      </c>
      <c r="D79" s="37">
        <f t="shared" si="40"/>
        <v>-1119.2028019873669</v>
      </c>
      <c r="E79" s="37">
        <f t="shared" si="40"/>
        <v>-1671.1418302376114</v>
      </c>
      <c r="F79" s="37">
        <f t="shared" si="40"/>
        <v>7247.5657294733755</v>
      </c>
      <c r="G79" s="37">
        <f t="shared" si="35"/>
        <v>18585.896814467364</v>
      </c>
      <c r="H79" s="37">
        <f t="shared" ref="H79:I79" si="41">H80+H82</f>
        <v>3552.7180614975387</v>
      </c>
      <c r="I79" s="37">
        <f t="shared" si="41"/>
        <v>6712.1147271218888</v>
      </c>
      <c r="J79" s="37">
        <f t="shared" ref="J79" si="42">J80+J82</f>
        <v>4237.0451363165421</v>
      </c>
      <c r="K79" s="47"/>
      <c r="M79" s="62"/>
      <c r="O79" s="62"/>
      <c r="P79" s="62"/>
    </row>
    <row r="80" spans="1:16" s="10" customFormat="1" ht="24.75" customHeight="1" x14ac:dyDescent="0.3">
      <c r="A80" s="32" t="s">
        <v>51</v>
      </c>
      <c r="B80" s="11" t="s">
        <v>52</v>
      </c>
      <c r="C80" s="37">
        <f t="shared" ref="C80:F80" si="43">C81</f>
        <v>-20</v>
      </c>
      <c r="D80" s="37">
        <f t="shared" si="43"/>
        <v>-23</v>
      </c>
      <c r="E80" s="37">
        <f t="shared" si="43"/>
        <v>-52</v>
      </c>
      <c r="F80" s="37">
        <f t="shared" si="43"/>
        <v>-51</v>
      </c>
      <c r="G80" s="37">
        <f t="shared" si="35"/>
        <v>-146</v>
      </c>
      <c r="H80" s="37">
        <f t="shared" ref="H80:J80" si="44">H81</f>
        <v>-23.949859700000001</v>
      </c>
      <c r="I80" s="37">
        <f t="shared" si="44"/>
        <v>-59</v>
      </c>
      <c r="J80" s="37">
        <f t="shared" si="44"/>
        <v>-36.021142680000004</v>
      </c>
      <c r="K80" s="47"/>
      <c r="M80" s="62"/>
    </row>
    <row r="81" spans="1:12" s="22" customFormat="1" ht="24.75" customHeight="1" x14ac:dyDescent="0.35">
      <c r="A81" s="34"/>
      <c r="B81" s="20" t="s">
        <v>53</v>
      </c>
      <c r="C81" s="21">
        <v>-20</v>
      </c>
      <c r="D81" s="21">
        <v>-23</v>
      </c>
      <c r="E81" s="21">
        <v>-52</v>
      </c>
      <c r="F81" s="21">
        <v>-51</v>
      </c>
      <c r="G81" s="21">
        <f t="shared" si="35"/>
        <v>-146</v>
      </c>
      <c r="H81" s="35">
        <v>-23.949859700000001</v>
      </c>
      <c r="I81" s="35">
        <v>-59</v>
      </c>
      <c r="J81" s="35">
        <v>-36.021142680000004</v>
      </c>
      <c r="K81" s="57"/>
    </row>
    <row r="82" spans="1:12" s="10" customFormat="1" ht="24.75" customHeight="1" x14ac:dyDescent="0.3">
      <c r="A82" s="32" t="s">
        <v>54</v>
      </c>
      <c r="B82" s="11" t="s">
        <v>55</v>
      </c>
      <c r="C82" s="26">
        <f t="shared" ref="C82:F82" si="45">C83+C88+C99+C114</f>
        <v>14148.675717218965</v>
      </c>
      <c r="D82" s="26">
        <f t="shared" si="45"/>
        <v>-1096.2028019873669</v>
      </c>
      <c r="E82" s="26">
        <f t="shared" si="45"/>
        <v>-1619.1418302376114</v>
      </c>
      <c r="F82" s="26">
        <f t="shared" si="45"/>
        <v>7298.5657294733755</v>
      </c>
      <c r="G82" s="26">
        <f t="shared" si="35"/>
        <v>18731.896814467364</v>
      </c>
      <c r="H82" s="26">
        <f t="shared" ref="H82:I82" si="46">H83+H88+H99+H114</f>
        <v>3576.6679211975388</v>
      </c>
      <c r="I82" s="26">
        <f t="shared" si="46"/>
        <v>6771.1147271218888</v>
      </c>
      <c r="J82" s="26">
        <f t="shared" ref="J82" si="47">J83+J88+J99+J114</f>
        <v>4273.0662789965418</v>
      </c>
      <c r="K82" s="47"/>
    </row>
    <row r="83" spans="1:12" s="13" customFormat="1" ht="24.75" customHeight="1" x14ac:dyDescent="0.3">
      <c r="A83" s="32"/>
      <c r="B83" s="11" t="s">
        <v>56</v>
      </c>
      <c r="C83" s="37">
        <f t="shared" ref="C83:F83" si="48">C84+C86</f>
        <v>-23929.512449687303</v>
      </c>
      <c r="D83" s="37">
        <f t="shared" si="48"/>
        <v>4833.8025551779865</v>
      </c>
      <c r="E83" s="37">
        <f t="shared" si="48"/>
        <v>29903.460061855076</v>
      </c>
      <c r="F83" s="37">
        <f t="shared" si="48"/>
        <v>6037.5074636248028</v>
      </c>
      <c r="G83" s="37">
        <f t="shared" si="35"/>
        <v>16845.257630970562</v>
      </c>
      <c r="H83" s="37">
        <f t="shared" ref="H83:I83" si="49">H84+H86</f>
        <v>16577.323172535733</v>
      </c>
      <c r="I83" s="37">
        <f t="shared" si="49"/>
        <v>-953.563034699735</v>
      </c>
      <c r="J83" s="37">
        <f t="shared" ref="J83" si="50">J84+J86</f>
        <v>-3016.0090981175454</v>
      </c>
      <c r="K83" s="46"/>
    </row>
    <row r="84" spans="1:12" s="10" customFormat="1" ht="24.75" customHeight="1" x14ac:dyDescent="0.35">
      <c r="A84" s="32"/>
      <c r="B84" s="14" t="s">
        <v>57</v>
      </c>
      <c r="C84" s="15">
        <f>-75+C85</f>
        <v>20003.930466114813</v>
      </c>
      <c r="D84" s="15">
        <f>-884+D85</f>
        <v>-32984.187008734581</v>
      </c>
      <c r="E84" s="15">
        <f>-244+E85</f>
        <v>-41774.143184111294</v>
      </c>
      <c r="F84" s="15">
        <f>-1578+F85</f>
        <v>-68546.17941483407</v>
      </c>
      <c r="G84" s="15">
        <f t="shared" si="35"/>
        <v>-123300.57914156513</v>
      </c>
      <c r="H84" s="15">
        <v>-59086.636634608032</v>
      </c>
      <c r="I84" s="15">
        <v>-60882.563034699735</v>
      </c>
      <c r="J84" s="15">
        <v>-55243.903736027227</v>
      </c>
      <c r="K84" s="47"/>
    </row>
    <row r="85" spans="1:12" s="22" customFormat="1" ht="24.75" customHeight="1" x14ac:dyDescent="0.35">
      <c r="A85" s="34"/>
      <c r="B85" s="20" t="s">
        <v>34</v>
      </c>
      <c r="C85" s="23">
        <v>20078.930466114813</v>
      </c>
      <c r="D85" s="23">
        <v>-32100.187008734581</v>
      </c>
      <c r="E85" s="23">
        <v>-41530.143184111294</v>
      </c>
      <c r="F85" s="23">
        <v>-66968.17941483407</v>
      </c>
      <c r="G85" s="23">
        <f t="shared" si="35"/>
        <v>-120519.57914156513</v>
      </c>
      <c r="H85" s="23">
        <v>-58972.803321438034</v>
      </c>
      <c r="I85" s="23">
        <v>-60298.563034699735</v>
      </c>
      <c r="J85" s="23">
        <v>-54635.435706667224</v>
      </c>
      <c r="K85" s="58"/>
      <c r="L85" s="49"/>
    </row>
    <row r="86" spans="1:12" s="10" customFormat="1" ht="24.75" customHeight="1" x14ac:dyDescent="0.35">
      <c r="A86" s="32"/>
      <c r="B86" s="14" t="s">
        <v>58</v>
      </c>
      <c r="C86" s="16">
        <f>1583+C87</f>
        <v>-43933.442915802116</v>
      </c>
      <c r="D86" s="16">
        <f>5462+D87</f>
        <v>37817.989563912568</v>
      </c>
      <c r="E86" s="16">
        <f>1787+E87</f>
        <v>71677.603245966369</v>
      </c>
      <c r="F86" s="16">
        <f>3981+F87</f>
        <v>74583.686878458873</v>
      </c>
      <c r="G86" s="16">
        <f t="shared" si="35"/>
        <v>140145.83677253569</v>
      </c>
      <c r="H86" s="16">
        <v>75663.959807143765</v>
      </c>
      <c r="I86" s="16">
        <v>59929</v>
      </c>
      <c r="J86" s="15">
        <v>52227.894637909681</v>
      </c>
      <c r="K86" s="47"/>
    </row>
    <row r="87" spans="1:12" s="22" customFormat="1" ht="24.75" customHeight="1" x14ac:dyDescent="0.35">
      <c r="A87" s="34"/>
      <c r="B87" s="20" t="s">
        <v>34</v>
      </c>
      <c r="C87" s="23">
        <v>-45516.442915802116</v>
      </c>
      <c r="D87" s="23">
        <v>32355.989563912568</v>
      </c>
      <c r="E87" s="23">
        <v>69890.603245966369</v>
      </c>
      <c r="F87" s="23">
        <v>70602.686878458873</v>
      </c>
      <c r="G87" s="23">
        <f t="shared" si="35"/>
        <v>127332.83677253569</v>
      </c>
      <c r="H87" s="23">
        <v>73545.75057681257</v>
      </c>
      <c r="I87" s="23">
        <v>59083.616937806066</v>
      </c>
      <c r="J87" s="23">
        <v>50061.552752581381</v>
      </c>
      <c r="K87" s="58"/>
      <c r="L87" s="49"/>
    </row>
    <row r="88" spans="1:12" s="10" customFormat="1" ht="24.75" customHeight="1" x14ac:dyDescent="0.3">
      <c r="A88" s="32"/>
      <c r="B88" s="11" t="s">
        <v>59</v>
      </c>
      <c r="C88" s="37">
        <f t="shared" ref="C88:F88" si="51">C89+C94</f>
        <v>-1610.2509229949237</v>
      </c>
      <c r="D88" s="37">
        <f t="shared" si="51"/>
        <v>-1088.4394470698007</v>
      </c>
      <c r="E88" s="37">
        <f t="shared" si="51"/>
        <v>-3894.6069398056879</v>
      </c>
      <c r="F88" s="37">
        <f t="shared" si="51"/>
        <v>-6431.7731030420182</v>
      </c>
      <c r="G88" s="37">
        <f t="shared" si="35"/>
        <v>-13025.070412912431</v>
      </c>
      <c r="H88" s="37">
        <f t="shared" ref="H88:I88" si="52">H89+H94</f>
        <v>-4935.2250387108752</v>
      </c>
      <c r="I88" s="37">
        <f t="shared" si="52"/>
        <v>-9410.7249489380993</v>
      </c>
      <c r="J88" s="37">
        <f t="shared" ref="J88" si="53">J89+J94</f>
        <v>-3455.8125934524596</v>
      </c>
      <c r="K88" s="47"/>
    </row>
    <row r="89" spans="1:12" s="10" customFormat="1" ht="24.75" customHeight="1" x14ac:dyDescent="0.3">
      <c r="A89" s="32"/>
      <c r="B89" s="11" t="s">
        <v>60</v>
      </c>
      <c r="C89" s="18">
        <v>-9358.7862487897</v>
      </c>
      <c r="D89" s="18">
        <v>-8613.2585377450887</v>
      </c>
      <c r="E89" s="18">
        <v>-10769.307746723871</v>
      </c>
      <c r="F89" s="18">
        <v>-12977.759432560382</v>
      </c>
      <c r="G89" s="18">
        <f t="shared" si="35"/>
        <v>-41719.111965819044</v>
      </c>
      <c r="H89" s="26">
        <f t="shared" ref="H89:I89" si="54">H90+H92</f>
        <v>-6988.1205144251298</v>
      </c>
      <c r="I89" s="26">
        <f t="shared" si="54"/>
        <v>-12652.389350061761</v>
      </c>
      <c r="J89" s="26">
        <f t="shared" ref="J89" si="55">J90+J92</f>
        <v>-8505.7593040995271</v>
      </c>
      <c r="K89" s="47"/>
    </row>
    <row r="90" spans="1:12" s="10" customFormat="1" ht="24.75" customHeight="1" x14ac:dyDescent="0.35">
      <c r="A90" s="32"/>
      <c r="B90" s="14" t="s">
        <v>61</v>
      </c>
      <c r="C90" s="15">
        <f>-1964+C91</f>
        <v>-7140.3503741527893</v>
      </c>
      <c r="D90" s="15">
        <f>-1470+D91</f>
        <v>-6470.2809764215617</v>
      </c>
      <c r="E90" s="15">
        <f>-1767+E91</f>
        <v>-8068.6154227067091</v>
      </c>
      <c r="F90" s="15">
        <f>-3362+F91</f>
        <v>-10093.031602792267</v>
      </c>
      <c r="G90" s="15">
        <f t="shared" si="35"/>
        <v>-31772.278376073329</v>
      </c>
      <c r="H90" s="15">
        <v>-3882.3102899334563</v>
      </c>
      <c r="I90" s="15">
        <v>-9844.0936397500664</v>
      </c>
      <c r="J90" s="15">
        <v>-6253.6480942333083</v>
      </c>
      <c r="K90" s="47"/>
    </row>
    <row r="91" spans="1:12" s="22" customFormat="1" ht="24.75" customHeight="1" x14ac:dyDescent="0.35">
      <c r="A91" s="34"/>
      <c r="B91" s="20" t="s">
        <v>34</v>
      </c>
      <c r="C91" s="35">
        <v>-5176.3503741527893</v>
      </c>
      <c r="D91" s="35">
        <v>-5000.2809764215617</v>
      </c>
      <c r="E91" s="35">
        <v>-6301.6154227067091</v>
      </c>
      <c r="F91" s="35">
        <v>-6731.0316027922672</v>
      </c>
      <c r="G91" s="35">
        <f t="shared" si="35"/>
        <v>-23209.278376073329</v>
      </c>
      <c r="H91" s="23">
        <v>-6988.0730051062665</v>
      </c>
      <c r="I91" s="23">
        <v>-6991.0936397500664</v>
      </c>
      <c r="J91" s="23">
        <v>-5254.9261563545087</v>
      </c>
      <c r="K91" s="58"/>
    </row>
    <row r="92" spans="1:12" s="10" customFormat="1" ht="24.75" customHeight="1" x14ac:dyDescent="0.35">
      <c r="A92" s="32"/>
      <c r="B92" s="14" t="s">
        <v>62</v>
      </c>
      <c r="C92" s="15">
        <f t="shared" ref="C92:F92" si="56">C93</f>
        <v>-2218.4358746369098</v>
      </c>
      <c r="D92" s="15">
        <f t="shared" si="56"/>
        <v>-2142.9775613235265</v>
      </c>
      <c r="E92" s="15">
        <f t="shared" si="56"/>
        <v>-2700.6923240171614</v>
      </c>
      <c r="F92" s="15">
        <f t="shared" si="56"/>
        <v>-2884.7278297681146</v>
      </c>
      <c r="G92" s="15">
        <f t="shared" si="35"/>
        <v>-9946.8335897457127</v>
      </c>
      <c r="H92" s="15">
        <v>-3105.8102244916736</v>
      </c>
      <c r="I92" s="15">
        <v>-2808.2957103116951</v>
      </c>
      <c r="J92" s="15">
        <v>-2252.1112098662184</v>
      </c>
      <c r="K92" s="47"/>
    </row>
    <row r="93" spans="1:12" s="22" customFormat="1" ht="24.75" customHeight="1" x14ac:dyDescent="0.35">
      <c r="A93" s="34"/>
      <c r="B93" s="20" t="s">
        <v>34</v>
      </c>
      <c r="C93" s="35">
        <v>-2218.4358746369098</v>
      </c>
      <c r="D93" s="35">
        <v>-2142.9775613235265</v>
      </c>
      <c r="E93" s="35">
        <v>-2700.6923240171614</v>
      </c>
      <c r="F93" s="35">
        <v>-2884.7278297681146</v>
      </c>
      <c r="G93" s="35">
        <f t="shared" si="35"/>
        <v>-9946.8335897457127</v>
      </c>
      <c r="H93" s="23">
        <v>-3105.8102244916736</v>
      </c>
      <c r="I93" s="23">
        <v>-2808.2957103116951</v>
      </c>
      <c r="J93" s="23">
        <v>-2252.1112098662184</v>
      </c>
      <c r="K93" s="58"/>
    </row>
    <row r="94" spans="1:12" s="10" customFormat="1" ht="24.75" customHeight="1" x14ac:dyDescent="0.3">
      <c r="A94" s="32"/>
      <c r="B94" s="11" t="s">
        <v>63</v>
      </c>
      <c r="C94" s="37">
        <f t="shared" ref="C94:F94" si="57">C95+C97</f>
        <v>7748.5353257947763</v>
      </c>
      <c r="D94" s="37">
        <f t="shared" si="57"/>
        <v>7524.819090675288</v>
      </c>
      <c r="E94" s="37">
        <f t="shared" si="57"/>
        <v>6874.7008069181829</v>
      </c>
      <c r="F94" s="37">
        <f t="shared" si="57"/>
        <v>6545.9863295183641</v>
      </c>
      <c r="G94" s="37">
        <f t="shared" si="35"/>
        <v>28694.041552906612</v>
      </c>
      <c r="H94" s="37">
        <f t="shared" ref="H94:J94" si="58">H95+H97</f>
        <v>2052.8954757142546</v>
      </c>
      <c r="I94" s="37">
        <f t="shared" si="58"/>
        <v>3241.6644011236631</v>
      </c>
      <c r="J94" s="37">
        <f t="shared" si="58"/>
        <v>5049.9467106470674</v>
      </c>
      <c r="K94" s="47"/>
    </row>
    <row r="95" spans="1:12" s="52" customFormat="1" ht="24.75" customHeight="1" x14ac:dyDescent="0.35">
      <c r="A95" s="32"/>
      <c r="B95" s="14" t="s">
        <v>61</v>
      </c>
      <c r="C95" s="15">
        <f>2846+C96</f>
        <v>6506.4282606358211</v>
      </c>
      <c r="D95" s="15">
        <f>2536+D96</f>
        <v>6400.6552725402307</v>
      </c>
      <c r="E95" s="15">
        <f>1654+E96</f>
        <v>5912.1606455345463</v>
      </c>
      <c r="F95" s="15">
        <f>1369+F96</f>
        <v>5677.7890636146913</v>
      </c>
      <c r="G95" s="15">
        <f t="shared" si="35"/>
        <v>24497.033242325291</v>
      </c>
      <c r="H95" s="15">
        <v>2658.0950601994036</v>
      </c>
      <c r="I95" s="15">
        <v>191.32661601440486</v>
      </c>
      <c r="J95" s="15">
        <v>3395.2425001396537</v>
      </c>
      <c r="K95" s="51"/>
    </row>
    <row r="96" spans="1:12" s="22" customFormat="1" ht="24.75" customHeight="1" x14ac:dyDescent="0.35">
      <c r="A96" s="34"/>
      <c r="B96" s="20" t="s">
        <v>34</v>
      </c>
      <c r="C96" s="35">
        <v>3660.4282606358211</v>
      </c>
      <c r="D96" s="35">
        <v>3864.6552725402312</v>
      </c>
      <c r="E96" s="35">
        <v>4258.1606455345463</v>
      </c>
      <c r="F96" s="35">
        <v>4308.7890636146913</v>
      </c>
      <c r="G96" s="35">
        <f t="shared" si="35"/>
        <v>16092.033242325289</v>
      </c>
      <c r="H96" s="23">
        <v>4026.4710866994037</v>
      </c>
      <c r="I96" s="23">
        <v>2400.3266160144049</v>
      </c>
      <c r="J96" s="23">
        <v>4195.3013853096536</v>
      </c>
      <c r="K96" s="58"/>
    </row>
    <row r="97" spans="1:15" s="52" customFormat="1" ht="24.75" customHeight="1" x14ac:dyDescent="0.35">
      <c r="A97" s="32"/>
      <c r="B97" s="14" t="s">
        <v>62</v>
      </c>
      <c r="C97" s="15">
        <f>327+C98</f>
        <v>1242.1070651589553</v>
      </c>
      <c r="D97" s="15">
        <f>158+D98</f>
        <v>1124.1638181350577</v>
      </c>
      <c r="E97" s="15">
        <f>-102+E98</f>
        <v>962.54016138363659</v>
      </c>
      <c r="F97" s="15">
        <f>-209+F98</f>
        <v>868.19726590367281</v>
      </c>
      <c r="G97" s="15">
        <f t="shared" si="35"/>
        <v>4197.0083105813228</v>
      </c>
      <c r="H97" s="15">
        <v>-605.19958448514899</v>
      </c>
      <c r="I97" s="15">
        <v>3050.3377851092582</v>
      </c>
      <c r="J97" s="15">
        <v>1654.7042105074133</v>
      </c>
      <c r="K97" s="51"/>
    </row>
    <row r="98" spans="1:15" s="22" customFormat="1" ht="24.75" customHeight="1" x14ac:dyDescent="0.35">
      <c r="A98" s="34"/>
      <c r="B98" s="20" t="s">
        <v>34</v>
      </c>
      <c r="C98" s="35">
        <v>915.10706515895527</v>
      </c>
      <c r="D98" s="35">
        <v>966.1638181350578</v>
      </c>
      <c r="E98" s="35">
        <v>1064.5401613836366</v>
      </c>
      <c r="F98" s="35">
        <v>1077.1972659036728</v>
      </c>
      <c r="G98" s="35">
        <f t="shared" si="35"/>
        <v>4023.0083105813223</v>
      </c>
      <c r="H98" s="23">
        <v>1006.6177716748509</v>
      </c>
      <c r="I98" s="23">
        <v>2543.3377851092582</v>
      </c>
      <c r="J98" s="23">
        <v>1048.8253463274134</v>
      </c>
      <c r="K98" s="58"/>
    </row>
    <row r="99" spans="1:15" s="10" customFormat="1" ht="24.75" customHeight="1" x14ac:dyDescent="0.3">
      <c r="A99" s="32"/>
      <c r="B99" s="11" t="s">
        <v>65</v>
      </c>
      <c r="C99" s="37">
        <f t="shared" ref="C99:F99" si="59">C100+C107</f>
        <v>45778.439089901192</v>
      </c>
      <c r="D99" s="37">
        <f t="shared" si="59"/>
        <v>4077.4340899044473</v>
      </c>
      <c r="E99" s="37">
        <f t="shared" si="59"/>
        <v>-24233.994952287001</v>
      </c>
      <c r="F99" s="37">
        <f t="shared" si="59"/>
        <v>12308.831368890591</v>
      </c>
      <c r="G99" s="37">
        <f t="shared" si="35"/>
        <v>37930.70959640923</v>
      </c>
      <c r="H99" s="37">
        <f t="shared" ref="H99:I99" si="60">H100+H107</f>
        <v>-3610.7164854300354</v>
      </c>
      <c r="I99" s="37">
        <f t="shared" si="60"/>
        <v>19775.679710759723</v>
      </c>
      <c r="J99" s="37">
        <f t="shared" ref="J99" si="61">J100+J107</f>
        <v>16649.952655438683</v>
      </c>
      <c r="K99" s="47"/>
    </row>
    <row r="100" spans="1:15" s="10" customFormat="1" ht="24.75" customHeight="1" x14ac:dyDescent="0.3">
      <c r="A100" s="32"/>
      <c r="B100" s="11" t="s">
        <v>64</v>
      </c>
      <c r="C100" s="37">
        <f t="shared" ref="C100:F100" si="62">C101+C102+C103+C104+C106</f>
        <v>139040.8468134026</v>
      </c>
      <c r="D100" s="37">
        <f t="shared" si="62"/>
        <v>156858.51570181726</v>
      </c>
      <c r="E100" s="37">
        <f t="shared" si="62"/>
        <v>89389.635347933101</v>
      </c>
      <c r="F100" s="37">
        <f t="shared" si="62"/>
        <v>129984.33091511023</v>
      </c>
      <c r="G100" s="37">
        <f t="shared" si="35"/>
        <v>515273.32877826318</v>
      </c>
      <c r="H100" s="37">
        <f t="shared" ref="H100:I100" si="63">H101+H102+H103+H104+H106</f>
        <v>122028.94061253998</v>
      </c>
      <c r="I100" s="37">
        <f t="shared" si="63"/>
        <v>191429.58057395084</v>
      </c>
      <c r="J100" s="37">
        <f t="shared" ref="J100" si="64">J101+J102+J103+J104+J106</f>
        <v>-306146.06276947423</v>
      </c>
      <c r="K100" s="47"/>
    </row>
    <row r="101" spans="1:15" s="10" customFormat="1" ht="24.75" customHeight="1" x14ac:dyDescent="0.35">
      <c r="A101" s="32"/>
      <c r="B101" s="14" t="s">
        <v>66</v>
      </c>
      <c r="C101" s="33">
        <v>0</v>
      </c>
      <c r="D101" s="33">
        <v>0</v>
      </c>
      <c r="E101" s="33">
        <v>0</v>
      </c>
      <c r="F101" s="15">
        <v>0</v>
      </c>
      <c r="G101" s="15">
        <f t="shared" si="35"/>
        <v>0</v>
      </c>
      <c r="H101" s="15">
        <v>0</v>
      </c>
      <c r="I101" s="15">
        <v>0</v>
      </c>
      <c r="J101" s="15">
        <v>0</v>
      </c>
      <c r="K101" s="47"/>
    </row>
    <row r="102" spans="1:15" s="10" customFormat="1" ht="24.75" customHeight="1" x14ac:dyDescent="0.35">
      <c r="A102" s="32"/>
      <c r="B102" s="14" t="s">
        <v>67</v>
      </c>
      <c r="C102" s="25">
        <v>0</v>
      </c>
      <c r="D102" s="25">
        <v>0</v>
      </c>
      <c r="E102" s="25">
        <v>0</v>
      </c>
      <c r="F102" s="25">
        <v>0</v>
      </c>
      <c r="G102" s="25">
        <f t="shared" si="35"/>
        <v>0</v>
      </c>
      <c r="H102" s="15">
        <v>0</v>
      </c>
      <c r="I102" s="15">
        <v>0</v>
      </c>
      <c r="J102" s="15">
        <v>0</v>
      </c>
      <c r="K102" s="47"/>
    </row>
    <row r="103" spans="1:15" s="52" customFormat="1" ht="24.75" customHeight="1" x14ac:dyDescent="0.35">
      <c r="A103" s="32"/>
      <c r="B103" s="14" t="s">
        <v>68</v>
      </c>
      <c r="C103" s="15">
        <v>22533.212842658773</v>
      </c>
      <c r="D103" s="15">
        <v>43989.666130767233</v>
      </c>
      <c r="E103" s="15">
        <v>-53385.015351618174</v>
      </c>
      <c r="F103" s="15">
        <v>-21988.238815492587</v>
      </c>
      <c r="G103" s="15">
        <f t="shared" si="35"/>
        <v>-8850.3751936847548</v>
      </c>
      <c r="H103" s="25">
        <v>-33482.393030981781</v>
      </c>
      <c r="I103" s="25">
        <v>95324</v>
      </c>
      <c r="J103" s="15">
        <v>22008.313893382496</v>
      </c>
      <c r="K103" s="51"/>
    </row>
    <row r="104" spans="1:15" s="10" customFormat="1" ht="24.75" customHeight="1" x14ac:dyDescent="0.35">
      <c r="A104" s="32"/>
      <c r="B104" s="14" t="s">
        <v>69</v>
      </c>
      <c r="C104" s="15">
        <f t="shared" ref="C104:F104" si="65">C105</f>
        <v>116709.63397074382</v>
      </c>
      <c r="D104" s="15">
        <f t="shared" si="65"/>
        <v>112739.84957105003</v>
      </c>
      <c r="E104" s="15">
        <f t="shared" si="65"/>
        <v>142080.65069955128</v>
      </c>
      <c r="F104" s="15">
        <f t="shared" si="65"/>
        <v>151762.56973060282</v>
      </c>
      <c r="G104" s="15">
        <f t="shared" si="35"/>
        <v>523292.70397194789</v>
      </c>
      <c r="H104" s="15">
        <v>155948.33364352176</v>
      </c>
      <c r="I104" s="15">
        <v>95945.580573950836</v>
      </c>
      <c r="J104" s="15">
        <v>-328245.97066285671</v>
      </c>
      <c r="K104" s="47"/>
    </row>
    <row r="105" spans="1:15" s="22" customFormat="1" ht="24.75" customHeight="1" x14ac:dyDescent="0.35">
      <c r="A105" s="34"/>
      <c r="B105" s="20" t="s">
        <v>34</v>
      </c>
      <c r="C105" s="23">
        <v>116709.63397074382</v>
      </c>
      <c r="D105" s="23">
        <v>112739.84957105003</v>
      </c>
      <c r="E105" s="23">
        <v>142080.65069955128</v>
      </c>
      <c r="F105" s="23">
        <v>151762.56973060282</v>
      </c>
      <c r="G105" s="23">
        <f t="shared" si="35"/>
        <v>523292.70397194789</v>
      </c>
      <c r="H105" s="23">
        <v>155948.33364352176</v>
      </c>
      <c r="I105" s="23">
        <v>95945.580573950836</v>
      </c>
      <c r="J105" s="23">
        <v>-328245.97066285671</v>
      </c>
      <c r="K105" s="58"/>
    </row>
    <row r="106" spans="1:15" s="10" customFormat="1" ht="24.75" customHeight="1" x14ac:dyDescent="0.35">
      <c r="A106" s="32"/>
      <c r="B106" s="14" t="s">
        <v>70</v>
      </c>
      <c r="C106" s="15">
        <v>-202</v>
      </c>
      <c r="D106" s="15">
        <v>129</v>
      </c>
      <c r="E106" s="15">
        <v>694</v>
      </c>
      <c r="F106" s="15">
        <v>210</v>
      </c>
      <c r="G106" s="15">
        <f t="shared" si="35"/>
        <v>831</v>
      </c>
      <c r="H106" s="15">
        <v>-437</v>
      </c>
      <c r="I106" s="15">
        <v>160</v>
      </c>
      <c r="J106" s="15">
        <v>91.593999999999994</v>
      </c>
      <c r="K106" s="47"/>
    </row>
    <row r="107" spans="1:15" s="10" customFormat="1" ht="24.75" customHeight="1" x14ac:dyDescent="0.3">
      <c r="A107" s="32"/>
      <c r="B107" s="11" t="s">
        <v>63</v>
      </c>
      <c r="C107" s="26">
        <f t="shared" ref="C107:F107" si="66">C108+C109+C110+C111+C113</f>
        <v>-93262.407723501412</v>
      </c>
      <c r="D107" s="26">
        <f t="shared" si="66"/>
        <v>-152781.08161191281</v>
      </c>
      <c r="E107" s="26">
        <f t="shared" si="66"/>
        <v>-113623.6303002201</v>
      </c>
      <c r="F107" s="26">
        <f t="shared" si="66"/>
        <v>-117675.49954621964</v>
      </c>
      <c r="G107" s="26">
        <f t="shared" si="35"/>
        <v>-477342.61918185401</v>
      </c>
      <c r="H107" s="26">
        <f t="shared" ref="H107:J107" si="67">H108+H109+H110+H111+H113</f>
        <v>-125639.65709797002</v>
      </c>
      <c r="I107" s="26">
        <f t="shared" si="67"/>
        <v>-171653.90086319111</v>
      </c>
      <c r="J107" s="26">
        <f t="shared" si="67"/>
        <v>322796.01542491291</v>
      </c>
      <c r="K107" s="47"/>
    </row>
    <row r="108" spans="1:15" s="10" customFormat="1" ht="24.75" customHeight="1" x14ac:dyDescent="0.35">
      <c r="A108" s="32"/>
      <c r="B108" s="14" t="s">
        <v>66</v>
      </c>
      <c r="C108" s="15">
        <v>1767</v>
      </c>
      <c r="D108" s="15">
        <v>2381</v>
      </c>
      <c r="E108" s="15">
        <v>-245</v>
      </c>
      <c r="F108" s="15">
        <v>510</v>
      </c>
      <c r="G108" s="15">
        <f t="shared" si="35"/>
        <v>4413</v>
      </c>
      <c r="H108" s="15">
        <v>-14</v>
      </c>
      <c r="I108" s="15">
        <v>-232</v>
      </c>
      <c r="J108" s="15">
        <v>-614</v>
      </c>
      <c r="K108" s="47"/>
      <c r="N108" s="62"/>
      <c r="O108" s="62"/>
    </row>
    <row r="109" spans="1:15" s="10" customFormat="1" ht="24.75" customHeight="1" x14ac:dyDescent="0.35">
      <c r="A109" s="32"/>
      <c r="B109" s="14" t="s">
        <v>67</v>
      </c>
      <c r="C109" s="15">
        <v>18</v>
      </c>
      <c r="D109" s="15">
        <v>-30</v>
      </c>
      <c r="E109" s="15">
        <v>-1</v>
      </c>
      <c r="F109" s="15">
        <v>-4.4800000000000004</v>
      </c>
      <c r="G109" s="15">
        <f t="shared" si="35"/>
        <v>-17.48</v>
      </c>
      <c r="H109" s="15">
        <v>24</v>
      </c>
      <c r="I109" s="15">
        <v>10.818698372181998</v>
      </c>
      <c r="J109" s="15">
        <v>51.729723042793978</v>
      </c>
      <c r="K109" s="47"/>
      <c r="N109" s="62"/>
      <c r="O109" s="62"/>
    </row>
    <row r="110" spans="1:15" s="52" customFormat="1" ht="24.75" customHeight="1" x14ac:dyDescent="0.35">
      <c r="A110" s="32"/>
      <c r="B110" s="14" t="s">
        <v>68</v>
      </c>
      <c r="C110" s="15">
        <v>9009.1581163896954</v>
      </c>
      <c r="D110" s="15">
        <v>-44726.576857213164</v>
      </c>
      <c r="E110" s="15">
        <v>-2322.9557558353627</v>
      </c>
      <c r="F110" s="15">
        <v>4542.9337115803719</v>
      </c>
      <c r="G110" s="15">
        <f t="shared" si="35"/>
        <v>-33497.440785078463</v>
      </c>
      <c r="H110" s="25">
        <v>-12496.621294907778</v>
      </c>
      <c r="I110" s="25">
        <v>-64193</v>
      </c>
      <c r="J110" s="15">
        <v>28.104190998016357</v>
      </c>
      <c r="K110" s="51"/>
      <c r="N110" s="65"/>
      <c r="O110" s="65"/>
    </row>
    <row r="111" spans="1:15" s="10" customFormat="1" ht="24.75" customHeight="1" x14ac:dyDescent="0.35">
      <c r="A111" s="32"/>
      <c r="B111" s="14" t="s">
        <v>69</v>
      </c>
      <c r="C111" s="15">
        <f>-732+C112</f>
        <v>-107177.5658398911</v>
      </c>
      <c r="D111" s="15">
        <f>943+D112</f>
        <v>-111441.50475469966</v>
      </c>
      <c r="E111" s="15">
        <f>-533+E112</f>
        <v>-114360.67454438473</v>
      </c>
      <c r="F111" s="15">
        <f>-484+F112</f>
        <v>-126293.95325780001</v>
      </c>
      <c r="G111" s="15">
        <f t="shared" si="35"/>
        <v>-459273.69839677552</v>
      </c>
      <c r="H111" s="15">
        <v>-115546.28679559403</v>
      </c>
      <c r="I111" s="15">
        <v>-109985.71956156331</v>
      </c>
      <c r="J111" s="15">
        <v>320606.13030092709</v>
      </c>
      <c r="K111" s="47"/>
    </row>
    <row r="112" spans="1:15" s="22" customFormat="1" ht="24.75" customHeight="1" x14ac:dyDescent="0.35">
      <c r="A112" s="34"/>
      <c r="B112" s="20" t="s">
        <v>34</v>
      </c>
      <c r="C112" s="23">
        <v>-106445.5658398911</v>
      </c>
      <c r="D112" s="23">
        <v>-112384.50475469966</v>
      </c>
      <c r="E112" s="23">
        <v>-113827.67454438473</v>
      </c>
      <c r="F112" s="23">
        <v>-125809.95325780001</v>
      </c>
      <c r="G112" s="23">
        <f t="shared" si="35"/>
        <v>-458467.69839677552</v>
      </c>
      <c r="H112" s="23">
        <v>-114288</v>
      </c>
      <c r="I112" s="23">
        <v>-109860.71956156331</v>
      </c>
      <c r="J112" s="23">
        <v>321176.52798360522</v>
      </c>
      <c r="K112" s="58"/>
    </row>
    <row r="113" spans="1:11" s="10" customFormat="1" ht="24.75" customHeight="1" x14ac:dyDescent="0.35">
      <c r="A113" s="32"/>
      <c r="B113" s="14" t="s">
        <v>70</v>
      </c>
      <c r="C113" s="33">
        <v>3121</v>
      </c>
      <c r="D113" s="33">
        <v>1036</v>
      </c>
      <c r="E113" s="33">
        <v>3306</v>
      </c>
      <c r="F113" s="15">
        <v>3570</v>
      </c>
      <c r="G113" s="15">
        <f t="shared" si="35"/>
        <v>11033</v>
      </c>
      <c r="H113" s="15">
        <v>2393.2509925317877</v>
      </c>
      <c r="I113" s="15">
        <v>2746</v>
      </c>
      <c r="J113" s="15">
        <v>2724.0512099450088</v>
      </c>
      <c r="K113" s="47"/>
    </row>
    <row r="114" spans="1:11" s="10" customFormat="1" ht="24.75" customHeight="1" x14ac:dyDescent="0.3">
      <c r="A114" s="32"/>
      <c r="B114" s="11" t="s">
        <v>71</v>
      </c>
      <c r="C114" s="37">
        <f t="shared" ref="C114:F114" si="68">SUM(C115:C119)</f>
        <v>-6090</v>
      </c>
      <c r="D114" s="37">
        <f t="shared" si="68"/>
        <v>-8919</v>
      </c>
      <c r="E114" s="37">
        <f t="shared" si="68"/>
        <v>-3394</v>
      </c>
      <c r="F114" s="37">
        <f t="shared" si="68"/>
        <v>-4616</v>
      </c>
      <c r="G114" s="37">
        <f t="shared" si="35"/>
        <v>-23019</v>
      </c>
      <c r="H114" s="37">
        <f t="shared" ref="H114:J114" si="69">SUM(H115:H119)</f>
        <v>-4454.7137271972824</v>
      </c>
      <c r="I114" s="37">
        <f t="shared" si="69"/>
        <v>-2640.277</v>
      </c>
      <c r="J114" s="37">
        <f t="shared" si="69"/>
        <v>-5905.0646848721362</v>
      </c>
      <c r="K114" s="47"/>
    </row>
    <row r="115" spans="1:11" s="10" customFormat="1" ht="24.75" customHeight="1" x14ac:dyDescent="0.35">
      <c r="A115" s="32"/>
      <c r="B115" s="14" t="s">
        <v>72</v>
      </c>
      <c r="C115" s="33">
        <v>0</v>
      </c>
      <c r="D115" s="33">
        <v>0</v>
      </c>
      <c r="E115" s="33">
        <v>-2509</v>
      </c>
      <c r="F115" s="15">
        <v>-2391</v>
      </c>
      <c r="G115" s="15">
        <f t="shared" si="35"/>
        <v>-4900</v>
      </c>
      <c r="H115" s="15">
        <v>-1342.0993030500001</v>
      </c>
      <c r="I115" s="15">
        <v>6</v>
      </c>
      <c r="J115" s="15">
        <v>-245.0617997452016</v>
      </c>
      <c r="K115" s="47"/>
    </row>
    <row r="116" spans="1:11" s="10" customFormat="1" ht="24.75" customHeight="1" x14ac:dyDescent="0.35">
      <c r="A116" s="32"/>
      <c r="B116" s="14" t="s">
        <v>73</v>
      </c>
      <c r="C116" s="33">
        <v>-14</v>
      </c>
      <c r="D116" s="33">
        <v>-17</v>
      </c>
      <c r="E116" s="33">
        <v>7</v>
      </c>
      <c r="F116" s="15">
        <v>52</v>
      </c>
      <c r="G116" s="15">
        <f t="shared" si="35"/>
        <v>28</v>
      </c>
      <c r="H116" s="15">
        <v>-0.19373935000038148</v>
      </c>
      <c r="I116" s="15">
        <v>-0.10199999999999999</v>
      </c>
      <c r="J116" s="15">
        <v>-14.863573420420662</v>
      </c>
      <c r="K116" s="47"/>
    </row>
    <row r="117" spans="1:11" s="10" customFormat="1" ht="24.75" customHeight="1" x14ac:dyDescent="0.35">
      <c r="A117" s="32"/>
      <c r="B117" s="14" t="s">
        <v>74</v>
      </c>
      <c r="C117" s="33">
        <v>-4</v>
      </c>
      <c r="D117" s="33">
        <v>-25</v>
      </c>
      <c r="E117" s="33">
        <v>-5</v>
      </c>
      <c r="F117" s="15">
        <v>0</v>
      </c>
      <c r="G117" s="15">
        <f t="shared" si="35"/>
        <v>-34</v>
      </c>
      <c r="H117" s="33">
        <v>313.98731483273144</v>
      </c>
      <c r="I117" s="33">
        <v>-4.1749999999999998</v>
      </c>
      <c r="J117" s="15">
        <v>-0.77874805637598643</v>
      </c>
      <c r="K117" s="47"/>
    </row>
    <row r="118" spans="1:11" s="10" customFormat="1" ht="24.75" customHeight="1" x14ac:dyDescent="0.35">
      <c r="A118" s="32"/>
      <c r="B118" s="14" t="s">
        <v>75</v>
      </c>
      <c r="C118" s="33">
        <v>-6072</v>
      </c>
      <c r="D118" s="33">
        <v>-8877</v>
      </c>
      <c r="E118" s="33">
        <v>-887</v>
      </c>
      <c r="F118" s="15">
        <v>-2277</v>
      </c>
      <c r="G118" s="15">
        <f t="shared" si="35"/>
        <v>-18113</v>
      </c>
      <c r="H118" s="33">
        <v>-3426.4079996300134</v>
      </c>
      <c r="I118" s="33">
        <v>-2642</v>
      </c>
      <c r="J118" s="15">
        <v>-5644.3605636501379</v>
      </c>
      <c r="K118" s="47"/>
    </row>
    <row r="119" spans="1:11" s="10" customFormat="1" ht="24.75" customHeight="1" x14ac:dyDescent="0.35">
      <c r="A119" s="32"/>
      <c r="B119" s="14" t="s">
        <v>76</v>
      </c>
      <c r="C119" s="36">
        <v>0</v>
      </c>
      <c r="D119" s="36">
        <v>0</v>
      </c>
      <c r="E119" s="36">
        <v>0</v>
      </c>
      <c r="F119" s="16">
        <v>0</v>
      </c>
      <c r="G119" s="16">
        <f t="shared" si="35"/>
        <v>0</v>
      </c>
      <c r="H119" s="33">
        <v>0</v>
      </c>
      <c r="I119" s="33">
        <v>0</v>
      </c>
      <c r="J119" s="15">
        <v>0</v>
      </c>
      <c r="K119" s="47"/>
    </row>
    <row r="120" spans="1:11" s="10" customFormat="1" ht="24.75" customHeight="1" x14ac:dyDescent="0.3">
      <c r="A120" s="32" t="s">
        <v>77</v>
      </c>
      <c r="B120" s="11" t="s">
        <v>78</v>
      </c>
      <c r="C120" s="37">
        <f t="shared" ref="C120:J120" si="70">-(C6+C79)</f>
        <v>-7355.6757172189646</v>
      </c>
      <c r="D120" s="37">
        <f t="shared" si="70"/>
        <v>4613.2028019873669</v>
      </c>
      <c r="E120" s="37">
        <f t="shared" si="70"/>
        <v>9953.1418302376114</v>
      </c>
      <c r="F120" s="37">
        <f t="shared" si="70"/>
        <v>-3972.5657294733755</v>
      </c>
      <c r="G120" s="37">
        <f t="shared" si="35"/>
        <v>3238.1031855326382</v>
      </c>
      <c r="H120" s="37">
        <f t="shared" si="70"/>
        <v>2496.2819385024613</v>
      </c>
      <c r="I120" s="37">
        <f t="shared" si="70"/>
        <v>-1635.0679958816563</v>
      </c>
      <c r="J120" s="37">
        <f t="shared" si="70"/>
        <v>1054.9548636834579</v>
      </c>
      <c r="K120" s="47"/>
    </row>
    <row r="121" spans="1:11" s="10" customFormat="1" ht="7.5" customHeight="1" thickBot="1" x14ac:dyDescent="0.35">
      <c r="A121" s="38"/>
      <c r="B121" s="39"/>
      <c r="C121" s="40"/>
      <c r="D121" s="40"/>
      <c r="E121" s="40"/>
      <c r="F121" s="45"/>
      <c r="G121" s="59"/>
      <c r="H121" s="59"/>
      <c r="I121" s="59"/>
      <c r="J121" s="59"/>
    </row>
    <row r="122" spans="1:11" s="5" customFormat="1" ht="24.75" customHeight="1" x14ac:dyDescent="0.3">
      <c r="A122" s="70" t="s">
        <v>83</v>
      </c>
      <c r="B122" s="71"/>
      <c r="C122" s="71"/>
      <c r="D122" s="71"/>
      <c r="E122" s="71"/>
      <c r="F122" s="71"/>
      <c r="G122" s="42"/>
      <c r="H122" s="1"/>
      <c r="I122" s="1"/>
      <c r="J122" s="1"/>
    </row>
    <row r="123" spans="1:11" s="5" customFormat="1" ht="20.25" x14ac:dyDescent="0.3">
      <c r="A123" s="41" t="s">
        <v>79</v>
      </c>
      <c r="C123" s="42"/>
      <c r="D123" s="42"/>
      <c r="E123" s="42"/>
      <c r="F123" s="42"/>
      <c r="G123" s="42"/>
      <c r="H123" s="1"/>
      <c r="I123" s="1"/>
      <c r="J123" s="1"/>
    </row>
    <row r="124" spans="1:11" ht="20.25" x14ac:dyDescent="0.3">
      <c r="A124" s="41" t="s">
        <v>89</v>
      </c>
      <c r="C124" s="42"/>
    </row>
    <row r="125" spans="1:11" ht="23.25" x14ac:dyDescent="0.35">
      <c r="C125" s="60"/>
      <c r="D125" s="60"/>
      <c r="E125" s="60"/>
      <c r="F125" s="60"/>
      <c r="G125" s="60"/>
      <c r="H125" s="60"/>
      <c r="I125" s="60"/>
      <c r="J125" s="60"/>
    </row>
    <row r="126" spans="1:11" x14ac:dyDescent="0.3">
      <c r="C126" s="61"/>
      <c r="D126" s="61"/>
      <c r="E126" s="61"/>
      <c r="F126" s="61"/>
      <c r="G126" s="61"/>
      <c r="H126" s="61"/>
      <c r="I126" s="61"/>
      <c r="J126" s="61"/>
    </row>
    <row r="127" spans="1:11" x14ac:dyDescent="0.3">
      <c r="C127" s="61"/>
      <c r="D127" s="61"/>
      <c r="E127" s="61"/>
      <c r="F127" s="61"/>
      <c r="G127" s="61"/>
      <c r="H127" s="61"/>
      <c r="I127" s="61"/>
      <c r="J127" s="61"/>
    </row>
    <row r="128" spans="1:11" x14ac:dyDescent="0.3">
      <c r="C128" s="42"/>
    </row>
    <row r="131" spans="3:3" x14ac:dyDescent="0.3">
      <c r="C131" s="42"/>
    </row>
    <row r="133" spans="3:3" x14ac:dyDescent="0.3">
      <c r="C133" s="42"/>
    </row>
    <row r="135" spans="3:3" x14ac:dyDescent="0.3">
      <c r="C135" s="42"/>
    </row>
  </sheetData>
  <mergeCells count="11">
    <mergeCell ref="H3:J3"/>
    <mergeCell ref="H56:J56"/>
    <mergeCell ref="A122:F122"/>
    <mergeCell ref="G56:G57"/>
    <mergeCell ref="A3:A4"/>
    <mergeCell ref="B3:B4"/>
    <mergeCell ref="C3:F3"/>
    <mergeCell ref="G3:G4"/>
    <mergeCell ref="A56:A57"/>
    <mergeCell ref="B56:B57"/>
    <mergeCell ref="C56:F56"/>
  </mergeCells>
  <printOptions horizontalCentered="1"/>
  <pageMargins left="0" right="0" top="0.5" bottom="0" header="0" footer="0"/>
  <pageSetup paperSize="9" scale="46" orientation="portrait" r:id="rId1"/>
  <headerFooter scaleWithDoc="0"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51</vt:lpstr>
      <vt:lpstr>'51'!Print_Area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M Thancanamootoo</cp:lastModifiedBy>
  <cp:lastPrinted>2015-12-14T07:14:11Z</cp:lastPrinted>
  <dcterms:created xsi:type="dcterms:W3CDTF">2015-04-10T07:30:23Z</dcterms:created>
  <dcterms:modified xsi:type="dcterms:W3CDTF">2015-12-14T07:14:12Z</dcterms:modified>
</cp:coreProperties>
</file>