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8a-b" sheetId="1" r:id="rId1"/>
  </sheets>
  <externalReferences>
    <externalReference r:id="rId2"/>
    <externalReference r:id="rId3"/>
  </externalReferences>
  <definedNames>
    <definedName name="_xlnm.Database" localSheetId="0">'[1]Table-1'!#REF!</definedName>
    <definedName name="_xlnm.Database">'[1]Table-1'!#REF!</definedName>
    <definedName name="_xlnm.Print_Area" localSheetId="0">'48a-b'!$A$1:$K$68</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61" i="1" l="1"/>
  <c r="J61" i="1"/>
  <c r="K60" i="1"/>
  <c r="J60" i="1"/>
  <c r="K59" i="1"/>
  <c r="K58" i="1" s="1"/>
  <c r="J59" i="1"/>
  <c r="J58" i="1"/>
  <c r="G58" i="1"/>
  <c r="G60" i="1" s="1"/>
  <c r="F58" i="1"/>
  <c r="F60" i="1" s="1"/>
  <c r="E58" i="1"/>
  <c r="E60" i="1" s="1"/>
  <c r="D58" i="1"/>
  <c r="D60" i="1" s="1"/>
  <c r="C58" i="1"/>
  <c r="K57" i="1"/>
  <c r="J57" i="1"/>
  <c r="K56" i="1"/>
  <c r="K55" i="1" s="1"/>
  <c r="K52" i="1" s="1"/>
  <c r="K51" i="1" s="1"/>
  <c r="J56" i="1"/>
  <c r="J55" i="1" s="1"/>
  <c r="J52" i="1" s="1"/>
  <c r="J51" i="1" s="1"/>
  <c r="C56" i="1"/>
  <c r="G55" i="1"/>
  <c r="F55" i="1"/>
  <c r="E55" i="1"/>
  <c r="D55" i="1"/>
  <c r="C55" i="1"/>
  <c r="K54" i="1"/>
  <c r="K53" i="1"/>
  <c r="J53" i="1"/>
  <c r="F53" i="1"/>
  <c r="E53" i="1"/>
  <c r="F51" i="1"/>
  <c r="E51" i="1"/>
  <c r="K50" i="1"/>
  <c r="K48" i="1" s="1"/>
  <c r="J48" i="1"/>
  <c r="F48" i="1"/>
  <c r="E48" i="1"/>
  <c r="K47" i="1"/>
  <c r="J47" i="1"/>
  <c r="K46" i="1"/>
  <c r="J46" i="1"/>
  <c r="K45" i="1"/>
  <c r="J45" i="1"/>
  <c r="K44" i="1"/>
  <c r="K43" i="1" s="1"/>
  <c r="J44" i="1"/>
  <c r="G44" i="1"/>
  <c r="F44" i="1"/>
  <c r="F43" i="1" s="1"/>
  <c r="E44" i="1"/>
  <c r="E43" i="1" s="1"/>
  <c r="D44" i="1"/>
  <c r="D43" i="1" s="1"/>
  <c r="C44" i="1"/>
  <c r="G43" i="1"/>
  <c r="C43" i="1"/>
  <c r="K42" i="1"/>
  <c r="J42" i="1"/>
  <c r="K41" i="1"/>
  <c r="J41" i="1"/>
  <c r="F41" i="1"/>
  <c r="E41" i="1"/>
  <c r="K40" i="1"/>
  <c r="J40" i="1"/>
  <c r="K39" i="1"/>
  <c r="J39" i="1"/>
  <c r="K38" i="1"/>
  <c r="J38" i="1"/>
  <c r="G38" i="1"/>
  <c r="F38" i="1"/>
  <c r="E38" i="1"/>
  <c r="K37" i="1"/>
  <c r="J37" i="1"/>
  <c r="K36" i="1"/>
  <c r="J36" i="1"/>
  <c r="K35" i="1"/>
  <c r="J35" i="1"/>
  <c r="K34" i="1"/>
  <c r="J34" i="1"/>
  <c r="J33" i="1" s="1"/>
  <c r="J32" i="1" s="1"/>
  <c r="J31" i="1" s="1"/>
  <c r="K33" i="1"/>
  <c r="K32" i="1" s="1"/>
  <c r="K31" i="1" s="1"/>
  <c r="K30" i="1" s="1"/>
  <c r="G32" i="1"/>
  <c r="G31" i="1" s="1"/>
  <c r="G30" i="1" s="1"/>
  <c r="F32" i="1"/>
  <c r="E32" i="1"/>
  <c r="E31" i="1" s="1"/>
  <c r="D32" i="1"/>
  <c r="D31" i="1" s="1"/>
  <c r="D30" i="1" s="1"/>
  <c r="C32" i="1"/>
  <c r="C31" i="1" s="1"/>
  <c r="C30" i="1" s="1"/>
  <c r="F31" i="1"/>
  <c r="I30" i="1"/>
  <c r="H30" i="1"/>
  <c r="J22" i="1"/>
  <c r="I22" i="1"/>
  <c r="H22" i="1"/>
  <c r="F22" i="1"/>
  <c r="E22" i="1"/>
  <c r="D22" i="1"/>
  <c r="C22" i="1"/>
  <c r="K19" i="1"/>
  <c r="K18" i="1"/>
  <c r="K17" i="1"/>
  <c r="K16" i="1"/>
  <c r="K22" i="1" s="1"/>
  <c r="K15" i="1"/>
  <c r="K14" i="1"/>
  <c r="G14" i="1"/>
  <c r="G22" i="1" s="1"/>
  <c r="K13" i="1"/>
  <c r="K12" i="1"/>
  <c r="K10" i="1"/>
  <c r="K9" i="1"/>
  <c r="K7" i="1"/>
  <c r="E30" i="1" l="1"/>
  <c r="J30" i="1"/>
  <c r="F30" i="1"/>
  <c r="J43" i="1"/>
</calcChain>
</file>

<file path=xl/sharedStrings.xml><?xml version="1.0" encoding="utf-8"?>
<sst xmlns="http://schemas.openxmlformats.org/spreadsheetml/2006/main" count="128" uniqueCount="93">
  <si>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</si>
  <si>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</si>
  <si>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</si>
  <si>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</si>
  <si>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</si>
  <si>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</si>
  <si>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</si>
  <si>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</si>
  <si>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</si>
  <si>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r>
      <t>2011</t>
    </r>
    <r>
      <rPr>
        <b/>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</si>
  <si>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</si>
  <si>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 xml:space="preserve">2 </t>
    </r>
  </si>
  <si>
    <r>
      <t xml:space="preserve">2014 </t>
    </r>
    <r>
      <rPr>
        <b/>
        <vertAlign val="superscript"/>
        <sz val="10"/>
        <rFont val="Arial"/>
        <family val="2"/>
      </rPr>
      <t>2</t>
    </r>
  </si>
  <si>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</si>
  <si>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</si>
  <si>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</si>
  <si>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</si>
  <si>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</si>
  <si>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</si>
  <si>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</si>
  <si>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</si>
  <si>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</si>
  <si>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</si>
  <si>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</si>
  <si>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</si>
  <si>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</si>
  <si>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</si>
  <si>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</si>
  <si>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</si>
  <si>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</si>
  <si>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</si>
  <si>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</si>
  <si>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</si>
  <si>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</si>
  <si>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</si>
  <si>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</si>
  <si>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</si>
  <si>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</si>
  <si>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</si>
  <si>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</si>
  <si>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</si>
  <si>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</si>
  <si>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</si>
  <si>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</si>
  <si>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</si>
  <si>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</si>
  <si>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</si>
  <si>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</si>
  <si>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</si>
  <si>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</si>
  <si>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</si>
  <si>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</si>
  <si>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r>
      <t xml:space="preserve">2011 </t>
    </r>
    <r>
      <rPr>
        <vertAlign val="superscript"/>
        <sz val="10"/>
        <rFont val="Arial"/>
        <family val="2"/>
      </rPr>
      <t>1</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</si>
  <si>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</si>
  <si>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</si>
  <si>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</si>
  <si>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</si>
  <si>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</si>
  <si>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</si>
  <si>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</si>
  <si>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</si>
  <si>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</si>
  <si>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</si>
  <si>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</si>
  <si>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</si>
  <si>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</si>
  <si>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</si>
  <si>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</si>
  <si>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</si>
  <si>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</si>
  <si>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</si>
  <si>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</si>
  <si>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</si>
  <si>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</si>
  <si>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</si>
  <si>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</si>
  <si>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</si>
  <si>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</si>
  <si>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</si>
  <si>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</si>
  <si>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</si>
  <si>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</si>
  <si>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</si>
  <si>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</si>
  <si>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Oceania </t>
  </si>
  <si>
    <t xml:space="preserve">   Unspecified</t>
  </si>
  <si>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</si>
  <si>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t xml:space="preserve">2 </t>
    </r>
    <r>
      <rPr>
        <i/>
        <sz val="9"/>
        <rFont val="Arial"/>
        <family val="2"/>
      </rPr>
      <t xml:space="preserve">Preliminary estimates. </t>
    </r>
  </si>
  <si>
    <t>2013 data will be revised once FALS 2014 results will be finalised and is therefore not strictly comparable with 2011 and 2012 data.</t>
  </si>
  <si>
    <t>Figures may not add up to totals due to rounding.</t>
  </si>
  <si>
    <t>Source: Statistics Division.</t>
  </si>
  <si>
    <t>Table 48a: Foreign Direct Investment in Mauritius by Sector: Annual 2008 - 2014</t>
  </si>
  <si>
    <t>Table 48b: Foreign Direct Investment in Mauritius by Geographical Origin: Annual 2008 - 2014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</si>
</sst>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vertAlign val="superscript"/>
      <sz val="10"/>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6" fillId="0" borderId="0"/>
    <xf numFmtId="0" fontId="16" fillId="0" borderId="0"/>
    <xf numFmtId="0" fontId="17" fillId="4" borderId="0"/>
    <xf numFmtId="0" fontId="17" fillId="4" borderId="0"/>
    <xf numFmtId="0" fontId="18" fillId="4" borderId="0"/>
    <xf numFmtId="0" fontId="18" fillId="4" borderId="0"/>
    <xf numFmtId="0" fontId="17" fillId="4" borderId="0"/>
    <xf numFmtId="0" fontId="17" fillId="4" borderId="0"/>
    <xf numFmtId="0" fontId="19" fillId="0" borderId="0"/>
    <xf numFmtId="0" fontId="19" fillId="0" borderId="0"/>
    <xf numFmtId="0" fontId="19" fillId="0" borderId="0"/>
    <xf numFmtId="0" fontId="19" fillId="0" borderId="0"/>
    <xf numFmtId="0" fontId="5" fillId="0" borderId="0"/>
    <xf numFmtId="0" fontId="5" fillId="0" borderId="0"/>
    <xf numFmtId="0" fontId="18" fillId="0" borderId="0"/>
    <xf numFmtId="0" fontId="18" fillId="0" borderId="0"/>
    <xf numFmtId="0" fontId="20" fillId="0" borderId="0"/>
    <xf numFmtId="0" fontId="20" fillId="0" borderId="0"/>
    <xf numFmtId="0" fontId="20" fillId="0" borderId="0"/>
    <xf numFmtId="0" fontId="20" fillId="0" borderId="0"/>
    <xf numFmtId="0" fontId="21" fillId="0" borderId="0"/>
    <xf numFmtId="0" fontId="21" fillId="0" borderId="0"/>
    <xf numFmtId="0" fontId="18" fillId="4" borderId="0"/>
    <xf numFmtId="0" fontId="18" fillId="4" borderId="0"/>
    <xf numFmtId="0" fontId="17" fillId="4" borderId="0"/>
    <xf numFmtId="0" fontId="17" fillId="4" borderId="0"/>
    <xf numFmtId="0" fontId="22" fillId="5" borderId="0"/>
    <xf numFmtId="0" fontId="22" fillId="5" borderId="0"/>
    <xf numFmtId="0" fontId="23" fillId="6" borderId="0"/>
    <xf numFmtId="0" fontId="23" fillId="6" borderId="0"/>
    <xf numFmtId="0" fontId="23" fillId="6" borderId="0"/>
    <xf numFmtId="0" fontId="23" fillId="6" borderId="0"/>
    <xf numFmtId="0" fontId="20" fillId="0" borderId="0"/>
    <xf numFmtId="0" fontId="20" fillId="0" borderId="0"/>
    <xf numFmtId="0" fontId="21" fillId="0" borderId="0"/>
    <xf numFmtId="0" fontId="21"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17" fillId="4" borderId="0"/>
    <xf numFmtId="0" fontId="17" fillId="4" borderId="0"/>
    <xf numFmtId="0" fontId="18" fillId="4" borderId="0"/>
    <xf numFmtId="0" fontId="18" fillId="4" borderId="0"/>
    <xf numFmtId="0" fontId="5" fillId="0" borderId="0"/>
    <xf numFmtId="0" fontId="5" fillId="0" borderId="0"/>
    <xf numFmtId="0" fontId="27" fillId="5" borderId="0"/>
    <xf numFmtId="0" fontId="27" fillId="5" borderId="0"/>
    <xf numFmtId="0" fontId="27" fillId="5" borderId="0"/>
    <xf numFmtId="0" fontId="27" fillId="5" borderId="0"/>
    <xf numFmtId="0" fontId="27" fillId="5" borderId="0"/>
    <xf numFmtId="0" fontId="27" fillId="5" borderId="0"/>
    <xf numFmtId="0" fontId="22" fillId="5" borderId="0"/>
    <xf numFmtId="0" fontId="22" fillId="5" borderId="0"/>
    <xf numFmtId="0" fontId="23" fillId="6" borderId="0"/>
    <xf numFmtId="0" fontId="23" fillId="6" borderId="0"/>
    <xf numFmtId="0" fontId="23" fillId="6" borderId="0"/>
    <xf numFmtId="0" fontId="23" fillId="6" borderId="0"/>
    <xf numFmtId="0" fontId="23" fillId="6" borderId="0"/>
    <xf numFmtId="0" fontId="23" fillId="6" borderId="0"/>
    <xf numFmtId="0" fontId="20" fillId="0" borderId="0"/>
    <xf numFmtId="0" fontId="20" fillId="0" borderId="0"/>
    <xf numFmtId="0" fontId="21" fillId="0" borderId="0"/>
    <xf numFmtId="0" fontId="21"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17" fillId="4" borderId="0"/>
    <xf numFmtId="0" fontId="17" fillId="4" borderId="0"/>
    <xf numFmtId="0" fontId="18" fillId="4" borderId="0"/>
    <xf numFmtId="0" fontId="18" fillId="4" borderId="0"/>
    <xf numFmtId="0" fontId="5" fillId="0" borderId="0"/>
    <xf numFmtId="0" fontId="5" fillId="0" borderId="0"/>
    <xf numFmtId="0" fontId="5" fillId="5" borderId="0"/>
    <xf numFmtId="0" fontId="5" fillId="5" borderId="0"/>
    <xf numFmtId="0" fontId="22" fillId="5" borderId="0"/>
    <xf numFmtId="0" fontId="22" fillId="5" borderId="0"/>
    <xf numFmtId="0" fontId="2" fillId="0" borderId="0">
      <alignment vertical="top"/>
    </xf>
    <xf numFmtId="0" fontId="2" fillId="0" borderId="0">
      <alignment vertical="top"/>
    </xf>
    <xf numFmtId="0" fontId="28" fillId="7" borderId="0" applyNumberFormat="0" applyBorder="0" applyAlignment="0" applyProtection="0"/>
    <xf numFmtId="0" fontId="28" fillId="4"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6"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1" fillId="41" borderId="24" applyNumberFormat="0" applyAlignment="0" applyProtection="0"/>
    <xf numFmtId="0" fontId="31" fillId="42" borderId="24" applyNumberFormat="0" applyAlignment="0" applyProtection="0"/>
    <xf numFmtId="0" fontId="32" fillId="43" borderId="25" applyNumberFormat="0" applyAlignment="0" applyProtection="0"/>
    <xf numFmtId="0" fontId="32"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4"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5" fillId="0" borderId="0" applyNumberFormat="0" applyFill="0" applyBorder="0" applyAlignment="0" applyProtection="0"/>
    <xf numFmtId="170" fontId="36" fillId="0" borderId="0">
      <alignment horizontal="center"/>
    </xf>
    <xf numFmtId="0" fontId="37" fillId="10" borderId="0" applyNumberFormat="0" applyBorder="0" applyAlignment="0" applyProtection="0"/>
    <xf numFmtId="0" fontId="37" fillId="11" borderId="0" applyNumberFormat="0" applyBorder="0" applyAlignment="0" applyProtection="0"/>
    <xf numFmtId="0" fontId="38" fillId="0" borderId="26" applyNumberFormat="0" applyFill="0" applyAlignment="0" applyProtection="0"/>
    <xf numFmtId="0" fontId="39" fillId="0" borderId="27" applyNumberFormat="0" applyFill="0" applyAlignment="0" applyProtection="0"/>
    <xf numFmtId="0" fontId="40" fillId="0" borderId="28"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16" borderId="24" applyNumberFormat="0" applyAlignment="0" applyProtection="0"/>
    <xf numFmtId="0" fontId="42" fillId="17" borderId="24" applyNumberFormat="0" applyAlignment="0" applyProtection="0"/>
    <xf numFmtId="0" fontId="43" fillId="0" borderId="0" applyNumberFormat="0" applyFill="0" applyBorder="0">
      <alignment horizontal="right"/>
    </xf>
    <xf numFmtId="0" fontId="43" fillId="0" borderId="0" applyNumberFormat="0" applyFill="0" applyBorder="0">
      <alignment horizontal="right"/>
    </xf>
    <xf numFmtId="0" fontId="44"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6" fillId="0" borderId="0"/>
    <xf numFmtId="0" fontId="46" fillId="0" borderId="3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33" fillId="0" borderId="0"/>
    <xf numFmtId="0" fontId="33"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7" fillId="41" borderId="32" applyNumberFormat="0" applyAlignment="0" applyProtection="0"/>
    <xf numFmtId="0" fontId="47" fillId="42" borderId="32" applyNumberFormat="0" applyAlignment="0" applyProtection="0"/>
    <xf numFmtId="9" fontId="48" fillId="0" borderId="0" applyFont="0" applyFill="0" applyBorder="0" applyAlignment="0" applyProtection="0"/>
    <xf numFmtId="9" fontId="2" fillId="0" borderId="0" applyFont="0" applyFill="0" applyBorder="0" applyAlignment="0" applyProtection="0"/>
    <xf numFmtId="9" fontId="48" fillId="0" borderId="0" applyFont="0" applyFill="0" applyBorder="0" applyAlignment="0" applyProtection="0"/>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vertical="center"/>
    </xf>
    <xf numFmtId="4" fontId="50" fillId="49" borderId="33" applyNumberFormat="0" applyProtection="0">
      <alignment vertical="center"/>
    </xf>
    <xf numFmtId="4" fontId="51" fillId="49" borderId="33" applyNumberFormat="0" applyProtection="0">
      <alignment horizontal="left" vertical="center" indent="1"/>
    </xf>
    <xf numFmtId="4" fontId="51" fillId="49" borderId="33" applyNumberFormat="0" applyProtection="0">
      <alignment horizontal="left" vertical="center" indent="1"/>
    </xf>
    <xf numFmtId="0" fontId="52" fillId="49" borderId="33" applyNumberFormat="0" applyProtection="0">
      <alignment horizontal="left" vertical="top" indent="1"/>
    </xf>
    <xf numFmtId="4" fontId="51" fillId="50" borderId="0" applyNumberFormat="0" applyProtection="0">
      <alignment horizontal="left" vertical="center" indent="1"/>
    </xf>
    <xf numFmtId="4" fontId="51" fillId="50" borderId="0" applyNumberFormat="0" applyProtection="0">
      <alignment horizontal="left" vertical="center" indent="1"/>
    </xf>
    <xf numFmtId="4" fontId="51" fillId="51" borderId="33" applyNumberFormat="0" applyProtection="0">
      <alignment horizontal="right" vertical="center"/>
    </xf>
    <xf numFmtId="4" fontId="51" fillId="51" borderId="33" applyNumberFormat="0" applyProtection="0">
      <alignment horizontal="right" vertical="center"/>
    </xf>
    <xf numFmtId="4" fontId="51" fillId="52" borderId="33" applyNumberFormat="0" applyProtection="0">
      <alignment horizontal="right" vertical="center"/>
    </xf>
    <xf numFmtId="4" fontId="51" fillId="52" borderId="33" applyNumberFormat="0" applyProtection="0">
      <alignment horizontal="right" vertical="center"/>
    </xf>
    <xf numFmtId="4" fontId="51" fillId="53" borderId="33" applyNumberFormat="0" applyProtection="0">
      <alignment horizontal="right" vertical="center"/>
    </xf>
    <xf numFmtId="4" fontId="51" fillId="53" borderId="33" applyNumberFormat="0" applyProtection="0">
      <alignment horizontal="right" vertical="center"/>
    </xf>
    <xf numFmtId="4" fontId="51" fillId="54" borderId="33" applyNumberFormat="0" applyProtection="0">
      <alignment horizontal="right" vertical="center"/>
    </xf>
    <xf numFmtId="4" fontId="51" fillId="54" borderId="33" applyNumberFormat="0" applyProtection="0">
      <alignment horizontal="right" vertical="center"/>
    </xf>
    <xf numFmtId="4" fontId="51" fillId="55" borderId="33" applyNumberFormat="0" applyProtection="0">
      <alignment horizontal="right" vertical="center"/>
    </xf>
    <xf numFmtId="4" fontId="51" fillId="55" borderId="33" applyNumberFormat="0" applyProtection="0">
      <alignment horizontal="right" vertical="center"/>
    </xf>
    <xf numFmtId="4" fontId="51" fillId="56" borderId="33" applyNumberFormat="0" applyProtection="0">
      <alignment horizontal="right" vertical="center"/>
    </xf>
    <xf numFmtId="4" fontId="51" fillId="56" borderId="33" applyNumberFormat="0" applyProtection="0">
      <alignment horizontal="right" vertical="center"/>
    </xf>
    <xf numFmtId="4" fontId="51" fillId="57" borderId="33" applyNumberFormat="0" applyProtection="0">
      <alignment horizontal="right" vertical="center"/>
    </xf>
    <xf numFmtId="4" fontId="51" fillId="57" borderId="33" applyNumberFormat="0" applyProtection="0">
      <alignment horizontal="right" vertical="center"/>
    </xf>
    <xf numFmtId="4" fontId="51" fillId="58" borderId="33" applyNumberFormat="0" applyProtection="0">
      <alignment horizontal="right" vertical="center"/>
    </xf>
    <xf numFmtId="4" fontId="51" fillId="58" borderId="33" applyNumberFormat="0" applyProtection="0">
      <alignment horizontal="right" vertical="center"/>
    </xf>
    <xf numFmtId="4" fontId="51" fillId="59" borderId="33" applyNumberFormat="0" applyProtection="0">
      <alignment horizontal="right" vertical="center"/>
    </xf>
    <xf numFmtId="4" fontId="51" fillId="59" borderId="33" applyNumberFormat="0" applyProtection="0">
      <alignment horizontal="right" vertical="center"/>
    </xf>
    <xf numFmtId="4" fontId="49" fillId="60" borderId="34" applyNumberFormat="0" applyProtection="0">
      <alignment horizontal="left" vertical="center" indent="1"/>
    </xf>
    <xf numFmtId="4" fontId="49" fillId="60" borderId="34" applyNumberFormat="0" applyProtection="0">
      <alignment horizontal="left" vertical="center" indent="1"/>
    </xf>
    <xf numFmtId="4" fontId="49" fillId="61" borderId="0" applyNumberFormat="0" applyProtection="0">
      <alignment horizontal="left" vertical="center" indent="1"/>
    </xf>
    <xf numFmtId="4" fontId="49" fillId="61" borderId="0" applyNumberFormat="0" applyProtection="0">
      <alignment horizontal="left" vertical="center"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51" fillId="61" borderId="33" applyNumberFormat="0" applyProtection="0">
      <alignment horizontal="right" vertical="center"/>
    </xf>
    <xf numFmtId="4" fontId="51" fillId="61" borderId="33" applyNumberFormat="0" applyProtection="0">
      <alignment horizontal="right" vertical="center"/>
    </xf>
    <xf numFmtId="4" fontId="53" fillId="61" borderId="0" applyNumberFormat="0" applyProtection="0">
      <alignment horizontal="left" vertical="center" indent="1"/>
    </xf>
    <xf numFmtId="4" fontId="53" fillId="61" borderId="0" applyNumberFormat="0" applyProtection="0">
      <alignment horizontal="left" vertical="center" indent="1"/>
    </xf>
    <xf numFmtId="4" fontId="53" fillId="50" borderId="0" applyNumberFormat="0" applyProtection="0">
      <alignment horizontal="left" vertical="center" indent="1"/>
    </xf>
    <xf numFmtId="4" fontId="53"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1" fillId="63" borderId="33" applyNumberFormat="0" applyProtection="0">
      <alignment vertical="center"/>
    </xf>
    <xf numFmtId="4" fontId="51" fillId="63" borderId="33" applyNumberFormat="0" applyProtection="0">
      <alignment vertical="center"/>
    </xf>
    <xf numFmtId="4" fontId="54" fillId="63" borderId="33" applyNumberFormat="0" applyProtection="0">
      <alignment vertical="center"/>
    </xf>
    <xf numFmtId="4" fontId="54" fillId="63" borderId="33" applyNumberFormat="0" applyProtection="0">
      <alignment vertical="center"/>
    </xf>
    <xf numFmtId="4" fontId="49" fillId="61" borderId="35" applyNumberFormat="0" applyProtection="0">
      <alignment horizontal="left" vertical="center" indent="1"/>
    </xf>
    <xf numFmtId="4" fontId="49" fillId="61" borderId="35" applyNumberFormat="0" applyProtection="0">
      <alignment horizontal="left" vertical="center" indent="1"/>
    </xf>
    <xf numFmtId="0" fontId="53" fillId="64" borderId="33" applyNumberFormat="0" applyProtection="0">
      <alignment horizontal="left" vertical="top" indent="1"/>
    </xf>
    <xf numFmtId="4" fontId="51" fillId="63" borderId="33" applyNumberFormat="0" applyProtection="0">
      <alignment horizontal="right" vertical="center"/>
    </xf>
    <xf numFmtId="4" fontId="51" fillId="63" borderId="33" applyNumberFormat="0" applyProtection="0">
      <alignment horizontal="right" vertical="center"/>
    </xf>
    <xf numFmtId="4" fontId="54" fillId="63" borderId="33" applyNumberFormat="0" applyProtection="0">
      <alignment horizontal="right" vertical="center"/>
    </xf>
    <xf numFmtId="4" fontId="54" fillId="63" borderId="33" applyNumberFormat="0" applyProtection="0">
      <alignment horizontal="right" vertical="center"/>
    </xf>
    <xf numFmtId="4" fontId="49" fillId="61" borderId="33" applyNumberFormat="0" applyProtection="0">
      <alignment horizontal="left" vertical="center" indent="1"/>
    </xf>
    <xf numFmtId="4" fontId="49" fillId="61" borderId="33" applyNumberFormat="0" applyProtection="0">
      <alignment horizontal="left" vertical="center" indent="1"/>
    </xf>
    <xf numFmtId="0" fontId="53" fillId="62" borderId="33" applyNumberFormat="0" applyProtection="0">
      <alignment horizontal="left" vertical="top" indent="1"/>
    </xf>
    <xf numFmtId="4" fontId="55" fillId="62" borderId="35" applyNumberFormat="0" applyProtection="0">
      <alignment horizontal="left" vertical="center" indent="1"/>
    </xf>
    <xf numFmtId="4" fontId="55" fillId="62" borderId="35" applyNumberFormat="0" applyProtection="0">
      <alignment horizontal="left" vertical="center" indent="1"/>
    </xf>
    <xf numFmtId="4" fontId="56" fillId="63" borderId="33" applyNumberFormat="0" applyProtection="0">
      <alignment horizontal="right" vertical="center"/>
    </xf>
    <xf numFmtId="4" fontId="56" fillId="63" borderId="33" applyNumberFormat="0" applyProtection="0">
      <alignment horizontal="right" vertical="center"/>
    </xf>
    <xf numFmtId="0" fontId="57" fillId="65" borderId="0"/>
    <xf numFmtId="0" fontId="58" fillId="65" borderId="0"/>
    <xf numFmtId="0" fontId="59" fillId="0" borderId="0" applyNumberFormat="0" applyFill="0" applyBorder="0" applyAlignment="0" applyProtection="0"/>
    <xf numFmtId="0" fontId="60"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1" fillId="0" borderId="0" applyNumberFormat="0" applyFill="0" applyBorder="0" applyAlignment="0" applyProtection="0"/>
  </cellStyleXfs>
  <cellXfs count="72">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49" fontId="8" fillId="3" borderId="2"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10" fillId="2" borderId="0" xfId="0" applyFont="1" applyFill="1" applyAlignment="1">
      <alignment vertical="center" wrapText="1"/>
    </xf>
    <xf numFmtId="49" fontId="8" fillId="3" borderId="5"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3" fontId="4" fillId="2" borderId="0" xfId="0" applyNumberFormat="1"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3" fillId="2" borderId="23" xfId="0" applyFont="1" applyFill="1" applyBorder="1" applyAlignment="1">
      <alignment horizontal="left" vertical="top" wrapText="1"/>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3" applyFont="1" applyFill="1" applyBorder="1" applyAlignment="1">
      <alignment horizontal="left" vertical="top"/>
    </xf>
    <xf numFmtId="0" fontId="0" fillId="2" borderId="0" xfId="0" applyFill="1" applyBorder="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5" fillId="2" borderId="0" xfId="0" applyFont="1" applyFill="1" applyAlignment="1">
      <alignment vertical="center"/>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Balance%20of%20Payments/RDBopReturns/FDI/Working/2014/FDIQ42014_17-Mar-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b"/>
      <sheetName val="2a-b"/>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tabSelected="1" zoomScaleNormal="100" workbookViewId="0">
      <selection activeCell="N57" sqref="N57"/>
    </sheetView>
  </sheetViews>
  <sheetFormatPr defaultRowHeight="11.25"/>
  <cols>
    <col min="1" max="1" width="11.28515625" style="3" customWidth="1"/>
    <col min="2" max="2" width="35" style="3" customWidth="1"/>
    <col min="3" max="4" width="8.7109375" style="4" hidden="1" customWidth="1"/>
    <col min="5" max="11" width="10.140625" style="3" customWidth="1"/>
    <col min="12" max="16384" width="9.140625" style="3"/>
  </cols>
  <sheetData>
    <row r="1" spans="1:11" s="2" customFormat="1" ht="16.5">
      <c r="A1" s="1" t="s">
        <v>91</v>
      </c>
      <c r="B1" s="1"/>
      <c r="C1" s="1"/>
      <c r="D1" s="1"/>
      <c r="H1" s="3"/>
    </row>
    <row r="2" spans="1:11" s="2" customFormat="1" ht="16.5">
      <c r="A2" s="1" t="s">
        <v>0</v>
      </c>
      <c r="B2" s="1"/>
      <c r="C2" s="1"/>
      <c r="D2" s="1"/>
    </row>
    <row r="3" spans="1:11" ht="12">
      <c r="D3" s="5"/>
      <c r="E3" s="5"/>
      <c r="I3" s="6"/>
      <c r="J3" s="6"/>
      <c r="K3" s="6" t="s">
        <v>1</v>
      </c>
    </row>
    <row r="4" spans="1:11" s="10" customFormat="1" ht="12" customHeight="1">
      <c r="A4" s="7" t="s">
        <v>2</v>
      </c>
      <c r="B4" s="8" t="s">
        <v>3</v>
      </c>
      <c r="C4" s="9" t="s">
        <v>4</v>
      </c>
      <c r="D4" s="9" t="s">
        <v>5</v>
      </c>
      <c r="E4" s="9" t="s">
        <v>6</v>
      </c>
      <c r="F4" s="9" t="s">
        <v>7</v>
      </c>
      <c r="G4" s="9" t="s">
        <v>8</v>
      </c>
      <c r="H4" s="9" t="s">
        <v>9</v>
      </c>
      <c r="I4" s="9" t="s">
        <v>10</v>
      </c>
      <c r="J4" s="9" t="s">
        <v>11</v>
      </c>
      <c r="K4" s="9" t="s">
        <v>12</v>
      </c>
    </row>
    <row r="5" spans="1:11" s="14" customFormat="1" ht="15.75" customHeight="1">
      <c r="A5" s="11"/>
      <c r="B5" s="12"/>
      <c r="C5" s="13"/>
      <c r="D5" s="13"/>
      <c r="E5" s="13"/>
      <c r="F5" s="13"/>
      <c r="G5" s="13"/>
      <c r="H5" s="13"/>
      <c r="I5" s="13"/>
      <c r="J5" s="13"/>
      <c r="K5" s="13"/>
    </row>
    <row r="6" spans="1:11" s="14" customFormat="1" ht="12.75">
      <c r="A6" s="15" t="s">
        <v>13</v>
      </c>
      <c r="B6" s="16" t="s">
        <v>14</v>
      </c>
      <c r="C6" s="17">
        <v>25.5</v>
      </c>
      <c r="D6" s="17">
        <v>18.399999999999999</v>
      </c>
      <c r="E6" s="17">
        <v>447.4</v>
      </c>
      <c r="F6" s="18" t="s">
        <v>15</v>
      </c>
      <c r="G6" s="18" t="s">
        <v>15</v>
      </c>
      <c r="H6" s="18">
        <v>215</v>
      </c>
      <c r="I6" s="18">
        <v>127</v>
      </c>
      <c r="J6" s="18">
        <v>678</v>
      </c>
      <c r="K6" s="18">
        <v>18.899999999999999</v>
      </c>
    </row>
    <row r="7" spans="1:11" s="14" customFormat="1" ht="12.75">
      <c r="A7" s="15" t="s">
        <v>16</v>
      </c>
      <c r="B7" s="16" t="s">
        <v>17</v>
      </c>
      <c r="C7" s="17">
        <v>180.9</v>
      </c>
      <c r="D7" s="17">
        <v>270.7</v>
      </c>
      <c r="E7" s="17">
        <v>148.6</v>
      </c>
      <c r="F7" s="17">
        <v>485.4</v>
      </c>
      <c r="G7" s="17">
        <v>63.3</v>
      </c>
      <c r="H7" s="18">
        <v>669</v>
      </c>
      <c r="I7" s="18">
        <v>1597</v>
      </c>
      <c r="J7" s="18">
        <v>280</v>
      </c>
      <c r="K7" s="18">
        <f>25.8+50.5</f>
        <v>76.3</v>
      </c>
    </row>
    <row r="8" spans="1:11" s="14" customFormat="1" ht="25.5">
      <c r="A8" s="15" t="s">
        <v>18</v>
      </c>
      <c r="B8" s="16" t="s">
        <v>19</v>
      </c>
      <c r="C8" s="17">
        <v>17.2</v>
      </c>
      <c r="D8" s="18" t="s">
        <v>15</v>
      </c>
      <c r="E8" s="18" t="s">
        <v>15</v>
      </c>
      <c r="F8" s="18" t="s">
        <v>15</v>
      </c>
      <c r="G8" s="18">
        <v>2</v>
      </c>
      <c r="H8" s="18">
        <v>18</v>
      </c>
      <c r="I8" s="18">
        <v>8</v>
      </c>
      <c r="J8" s="18">
        <v>238</v>
      </c>
      <c r="K8" s="18">
        <v>36</v>
      </c>
    </row>
    <row r="9" spans="1:11" s="14" customFormat="1" ht="12.75">
      <c r="A9" s="15" t="s">
        <v>20</v>
      </c>
      <c r="B9" s="16" t="s">
        <v>21</v>
      </c>
      <c r="C9" s="17">
        <v>11.5</v>
      </c>
      <c r="D9" s="17">
        <v>44.9</v>
      </c>
      <c r="E9" s="17">
        <v>67.8</v>
      </c>
      <c r="F9" s="17">
        <v>211.2</v>
      </c>
      <c r="G9" s="17">
        <v>1292.3</v>
      </c>
      <c r="H9" s="18">
        <v>2117</v>
      </c>
      <c r="I9" s="18">
        <v>2305</v>
      </c>
      <c r="J9" s="18">
        <v>762</v>
      </c>
      <c r="K9" s="18">
        <f>93+166.5+116.2</f>
        <v>375.7</v>
      </c>
    </row>
    <row r="10" spans="1:11" s="14" customFormat="1" ht="25.5">
      <c r="A10" s="15" t="s">
        <v>22</v>
      </c>
      <c r="B10" s="16" t="s">
        <v>23</v>
      </c>
      <c r="C10" s="17">
        <v>198</v>
      </c>
      <c r="D10" s="17">
        <v>38.299999999999997</v>
      </c>
      <c r="E10" s="17">
        <v>103.3</v>
      </c>
      <c r="F10" s="17">
        <v>290.89999999999998</v>
      </c>
      <c r="G10" s="17">
        <v>125</v>
      </c>
      <c r="H10" s="17">
        <v>600</v>
      </c>
      <c r="I10" s="17">
        <v>746</v>
      </c>
      <c r="J10" s="17">
        <v>327</v>
      </c>
      <c r="K10" s="17">
        <f>15+24.8+7.574</f>
        <v>47.373999999999995</v>
      </c>
    </row>
    <row r="11" spans="1:11" s="14" customFormat="1" ht="12.75">
      <c r="A11" s="15" t="s">
        <v>24</v>
      </c>
      <c r="B11" s="16" t="s">
        <v>25</v>
      </c>
      <c r="C11" s="17">
        <v>13.1</v>
      </c>
      <c r="D11" s="18" t="s">
        <v>15</v>
      </c>
      <c r="E11" s="17">
        <v>14.2</v>
      </c>
      <c r="F11" s="17">
        <v>9.5</v>
      </c>
      <c r="G11" s="18">
        <v>110</v>
      </c>
      <c r="H11" s="18">
        <v>204</v>
      </c>
      <c r="I11" s="18">
        <v>43</v>
      </c>
      <c r="J11" s="18" t="s">
        <v>15</v>
      </c>
      <c r="K11" s="18" t="s">
        <v>26</v>
      </c>
    </row>
    <row r="12" spans="1:11" s="14" customFormat="1" ht="25.5">
      <c r="A12" s="15" t="s">
        <v>27</v>
      </c>
      <c r="B12" s="16" t="s">
        <v>28</v>
      </c>
      <c r="C12" s="17">
        <v>1381.9</v>
      </c>
      <c r="D12" s="17">
        <v>3188.6</v>
      </c>
      <c r="E12" s="17">
        <v>1347.8</v>
      </c>
      <c r="F12" s="17">
        <v>1849.7</v>
      </c>
      <c r="G12" s="17">
        <v>836.3</v>
      </c>
      <c r="H12" s="17">
        <v>999</v>
      </c>
      <c r="I12" s="17">
        <v>1839</v>
      </c>
      <c r="J12" s="17">
        <v>314</v>
      </c>
      <c r="K12" s="17">
        <f>117+2115.3+1029.635+1631.5</f>
        <v>4893.4350000000004</v>
      </c>
    </row>
    <row r="13" spans="1:11" s="14" customFormat="1" ht="13.5" customHeight="1">
      <c r="A13" s="15" t="s">
        <v>29</v>
      </c>
      <c r="B13" s="16" t="s">
        <v>30</v>
      </c>
      <c r="C13" s="17">
        <v>42.7</v>
      </c>
      <c r="D13" s="17">
        <v>18.2</v>
      </c>
      <c r="E13" s="17">
        <v>7.8</v>
      </c>
      <c r="F13" s="18" t="s">
        <v>15</v>
      </c>
      <c r="G13" s="18">
        <v>235.47</v>
      </c>
      <c r="H13" s="18">
        <v>462</v>
      </c>
      <c r="I13" s="18">
        <v>373</v>
      </c>
      <c r="J13" s="18">
        <v>60</v>
      </c>
      <c r="K13" s="18">
        <f>109+29.6+2.690464</f>
        <v>141.29046399999999</v>
      </c>
    </row>
    <row r="14" spans="1:11" s="14" customFormat="1" ht="12.75">
      <c r="A14" s="15" t="s">
        <v>31</v>
      </c>
      <c r="B14" s="16" t="s">
        <v>32</v>
      </c>
      <c r="C14" s="17">
        <v>3592.9</v>
      </c>
      <c r="D14" s="17">
        <v>4055.6</v>
      </c>
      <c r="E14" s="17">
        <v>4563.8999999999996</v>
      </c>
      <c r="F14" s="17">
        <v>1371.4</v>
      </c>
      <c r="G14" s="17">
        <f>2160.2+157.809+91.28+1131.944+1104.059</f>
        <v>4645.2920000000004</v>
      </c>
      <c r="H14" s="17">
        <v>1972</v>
      </c>
      <c r="I14" s="18">
        <v>5512</v>
      </c>
      <c r="J14" s="18">
        <v>716</v>
      </c>
      <c r="K14" s="18">
        <f>1393.6+25.5+395.9</f>
        <v>1815</v>
      </c>
    </row>
    <row r="15" spans="1:11" s="14" customFormat="1" ht="12.75">
      <c r="A15" s="15" t="s">
        <v>33</v>
      </c>
      <c r="B15" s="16" t="s">
        <v>34</v>
      </c>
      <c r="C15" s="17">
        <v>1701.1</v>
      </c>
      <c r="D15" s="17">
        <v>3820</v>
      </c>
      <c r="E15" s="17">
        <v>4524.5</v>
      </c>
      <c r="F15" s="17">
        <v>4304.9799999999996</v>
      </c>
      <c r="G15" s="17">
        <v>3422.2</v>
      </c>
      <c r="H15" s="17">
        <v>5236</v>
      </c>
      <c r="I15" s="17">
        <v>7553</v>
      </c>
      <c r="J15" s="17">
        <v>5924</v>
      </c>
      <c r="K15" s="17">
        <f>1511+1676+1133.255+1857.4</f>
        <v>6177.6550000000007</v>
      </c>
    </row>
    <row r="16" spans="1:11" s="23" customFormat="1" ht="21.75" customHeight="1">
      <c r="A16" s="15"/>
      <c r="B16" s="19" t="s">
        <v>35</v>
      </c>
      <c r="C16" s="20">
        <v>1227.8</v>
      </c>
      <c r="D16" s="20">
        <v>2790.5</v>
      </c>
      <c r="E16" s="20">
        <v>2636.8</v>
      </c>
      <c r="F16" s="21">
        <v>2073.69</v>
      </c>
      <c r="G16" s="21">
        <v>2033</v>
      </c>
      <c r="H16" s="21">
        <v>3352</v>
      </c>
      <c r="I16" s="21">
        <v>4228.3999999999996</v>
      </c>
      <c r="J16" s="21">
        <v>4596</v>
      </c>
      <c r="K16" s="22">
        <f>1146+983.6+706.663+1202.2</f>
        <v>4038.4629999999997</v>
      </c>
    </row>
    <row r="17" spans="1:11" s="23" customFormat="1" ht="27.75" customHeight="1">
      <c r="A17" s="15" t="s">
        <v>36</v>
      </c>
      <c r="B17" s="16" t="s">
        <v>37</v>
      </c>
      <c r="C17" s="18" t="s">
        <v>15</v>
      </c>
      <c r="D17" s="18" t="s">
        <v>15</v>
      </c>
      <c r="E17" s="18" t="s">
        <v>15</v>
      </c>
      <c r="F17" s="18" t="s">
        <v>15</v>
      </c>
      <c r="G17" s="17">
        <v>404.2</v>
      </c>
      <c r="H17" s="17">
        <v>266</v>
      </c>
      <c r="I17" s="17">
        <v>52</v>
      </c>
      <c r="J17" s="17">
        <v>12</v>
      </c>
      <c r="K17" s="17">
        <f>1+1.476353</f>
        <v>2.476353</v>
      </c>
    </row>
    <row r="18" spans="1:11" s="23" customFormat="1" ht="21.75" customHeight="1">
      <c r="A18" s="15" t="s">
        <v>38</v>
      </c>
      <c r="B18" s="16" t="s">
        <v>39</v>
      </c>
      <c r="C18" s="18"/>
      <c r="D18" s="18" t="s">
        <v>15</v>
      </c>
      <c r="E18" s="18" t="s">
        <v>15</v>
      </c>
      <c r="F18" s="18" t="s">
        <v>15</v>
      </c>
      <c r="G18" s="18" t="s">
        <v>15</v>
      </c>
      <c r="H18" s="18">
        <v>38</v>
      </c>
      <c r="I18" s="18">
        <v>8</v>
      </c>
      <c r="J18" s="17">
        <v>161</v>
      </c>
      <c r="K18" s="17">
        <f>1+0.6</f>
        <v>1.6</v>
      </c>
    </row>
    <row r="19" spans="1:11" s="23" customFormat="1" ht="21.75" customHeight="1">
      <c r="A19" s="15" t="s">
        <v>40</v>
      </c>
      <c r="B19" s="16" t="s">
        <v>41</v>
      </c>
      <c r="C19" s="17">
        <v>54.6</v>
      </c>
      <c r="D19" s="17">
        <v>30.033999999999999</v>
      </c>
      <c r="E19" s="17">
        <v>74.054000000000002</v>
      </c>
      <c r="F19" s="17">
        <v>125</v>
      </c>
      <c r="G19" s="18">
        <v>18</v>
      </c>
      <c r="H19" s="18">
        <v>4</v>
      </c>
      <c r="I19" s="18" t="s">
        <v>15</v>
      </c>
      <c r="J19" s="18">
        <v>32</v>
      </c>
      <c r="K19" s="18">
        <f>16+16.8</f>
        <v>32.799999999999997</v>
      </c>
    </row>
    <row r="20" spans="1:11" s="23" customFormat="1" ht="21.75" customHeight="1">
      <c r="A20" s="15" t="s">
        <v>42</v>
      </c>
      <c r="B20" s="16" t="s">
        <v>43</v>
      </c>
      <c r="C20" s="17">
        <v>2.2000000000000002</v>
      </c>
      <c r="D20" s="17">
        <v>28.952000000000002</v>
      </c>
      <c r="E20" s="17">
        <v>119.7</v>
      </c>
      <c r="F20" s="17">
        <v>145.1</v>
      </c>
      <c r="G20" s="17">
        <v>2732.2</v>
      </c>
      <c r="H20" s="18">
        <v>91</v>
      </c>
      <c r="I20" s="18">
        <v>210</v>
      </c>
      <c r="J20" s="18" t="s">
        <v>15</v>
      </c>
      <c r="K20" s="18">
        <v>532.20000000000005</v>
      </c>
    </row>
    <row r="21" spans="1:11" s="23" customFormat="1" ht="21.75" customHeight="1">
      <c r="A21" s="15" t="s">
        <v>44</v>
      </c>
      <c r="B21" s="16" t="s">
        <v>45</v>
      </c>
      <c r="C21" s="18" t="s">
        <v>15</v>
      </c>
      <c r="D21" s="18" t="s">
        <v>15</v>
      </c>
      <c r="E21" s="18" t="s">
        <v>15</v>
      </c>
      <c r="F21" s="18" t="s">
        <v>15</v>
      </c>
      <c r="G21" s="17">
        <v>61.8</v>
      </c>
      <c r="H21" s="17">
        <v>3</v>
      </c>
      <c r="I21" s="18" t="s">
        <v>15</v>
      </c>
      <c r="J21" s="18">
        <v>8.1</v>
      </c>
      <c r="K21" s="18" t="s">
        <v>26</v>
      </c>
    </row>
    <row r="22" spans="1:11" s="23" customFormat="1" ht="17.25" customHeight="1">
      <c r="A22" s="24" t="s">
        <v>46</v>
      </c>
      <c r="B22" s="25"/>
      <c r="C22" s="26">
        <f>SUM(C6:C20)-C16</f>
        <v>7221.6000000000013</v>
      </c>
      <c r="D22" s="26">
        <f>SUM(D6:D20)-D16</f>
        <v>11513.685999999998</v>
      </c>
      <c r="E22" s="26">
        <f>SUM(E6:E20)-E16</f>
        <v>11419.054</v>
      </c>
      <c r="F22" s="26">
        <f>SUM(F6:F20)-F16</f>
        <v>8793.18</v>
      </c>
      <c r="G22" s="26">
        <f>SUM(G6:G21)-G16</f>
        <v>13948.062000000002</v>
      </c>
      <c r="H22" s="26">
        <f>SUM(H6:H21)-H16</f>
        <v>12894</v>
      </c>
      <c r="I22" s="26">
        <f>SUM(I6:I21)-I16</f>
        <v>20373</v>
      </c>
      <c r="J22" s="26">
        <f>SUM(J6:J21)-J16</f>
        <v>9512.1</v>
      </c>
      <c r="K22" s="26">
        <f>SUM(K6:K21)-K16</f>
        <v>14150.730817</v>
      </c>
    </row>
    <row r="23" spans="1:11" s="28" customFormat="1" ht="19.5" customHeight="1">
      <c r="A23" s="27" t="s">
        <v>47</v>
      </c>
      <c r="B23" s="27"/>
      <c r="C23" s="27"/>
      <c r="D23" s="27"/>
      <c r="E23" s="27"/>
      <c r="F23" s="27"/>
      <c r="G23" s="27"/>
      <c r="H23" s="27"/>
      <c r="I23" s="27"/>
      <c r="J23" s="27"/>
      <c r="K23" s="27"/>
    </row>
    <row r="24" spans="1:11" s="28" customFormat="1" ht="15.75" customHeight="1">
      <c r="A24" s="29" t="s">
        <v>48</v>
      </c>
      <c r="B24" s="30"/>
      <c r="C24" s="30"/>
      <c r="D24" s="30"/>
      <c r="E24" s="30"/>
      <c r="F24" s="30"/>
      <c r="G24" s="30"/>
      <c r="H24" s="30"/>
      <c r="I24" s="30"/>
      <c r="J24" s="30"/>
      <c r="K24" s="30"/>
    </row>
    <row r="25" spans="1:11" s="32" customFormat="1" ht="12.75">
      <c r="A25" s="31"/>
      <c r="C25" s="33"/>
      <c r="D25" s="33"/>
    </row>
    <row r="26" spans="1:11" s="2" customFormat="1" ht="16.5">
      <c r="A26" s="1" t="s">
        <v>92</v>
      </c>
      <c r="C26" s="34"/>
      <c r="D26" s="34"/>
    </row>
    <row r="27" spans="1:11" s="2" customFormat="1" ht="16.5">
      <c r="A27" s="1" t="s">
        <v>0</v>
      </c>
      <c r="C27" s="35"/>
      <c r="D27" s="35"/>
      <c r="E27" s="35"/>
      <c r="F27" s="35"/>
      <c r="G27" s="35"/>
      <c r="H27" s="35"/>
      <c r="I27" s="35"/>
      <c r="J27" s="35"/>
      <c r="K27" s="35"/>
    </row>
    <row r="28" spans="1:11" ht="12">
      <c r="B28" s="36"/>
      <c r="C28" s="37"/>
      <c r="D28" s="37"/>
      <c r="E28" s="37"/>
      <c r="F28" s="37"/>
      <c r="G28" s="37"/>
      <c r="H28" s="37"/>
      <c r="I28" s="6"/>
      <c r="J28" s="6"/>
      <c r="K28" s="6" t="s">
        <v>1</v>
      </c>
    </row>
    <row r="29" spans="1:11" s="28" customFormat="1" ht="28.5" customHeight="1">
      <c r="A29" s="38" t="s">
        <v>49</v>
      </c>
      <c r="B29" s="39"/>
      <c r="C29" s="40" t="s">
        <v>4</v>
      </c>
      <c r="D29" s="41" t="s">
        <v>5</v>
      </c>
      <c r="E29" s="42" t="s">
        <v>50</v>
      </c>
      <c r="F29" s="42" t="s">
        <v>7</v>
      </c>
      <c r="G29" s="42" t="s">
        <v>51</v>
      </c>
      <c r="H29" s="42" t="s">
        <v>52</v>
      </c>
      <c r="I29" s="42" t="s">
        <v>10</v>
      </c>
      <c r="J29" s="42" t="s">
        <v>11</v>
      </c>
      <c r="K29" s="42" t="s">
        <v>12</v>
      </c>
    </row>
    <row r="30" spans="1:11" s="46" customFormat="1" ht="14.1" customHeight="1">
      <c r="A30" s="43" t="s">
        <v>53</v>
      </c>
      <c r="B30" s="44"/>
      <c r="C30" s="45">
        <f>C31+C43+C62</f>
        <v>7222.4856000000009</v>
      </c>
      <c r="D30" s="45">
        <f>D31+D43+D62</f>
        <v>11513.725</v>
      </c>
      <c r="E30" s="45">
        <f>E31+E43+E62</f>
        <v>11419.01</v>
      </c>
      <c r="F30" s="45">
        <f>F31+F43+F62</f>
        <v>8792.7000000000007</v>
      </c>
      <c r="G30" s="45">
        <f>G31+G43+G62-1</f>
        <v>13947.599999999999</v>
      </c>
      <c r="H30" s="45">
        <f>H31+H43+H62</f>
        <v>12893.527</v>
      </c>
      <c r="I30" s="45">
        <f>I31+I43+I62</f>
        <v>20373.491000000002</v>
      </c>
      <c r="J30" s="45">
        <f>J31+J43+J62</f>
        <v>9512.1650000000009</v>
      </c>
      <c r="K30" s="45">
        <f>K31+K43</f>
        <v>14150.680000000002</v>
      </c>
    </row>
    <row r="31" spans="1:11" s="28" customFormat="1" ht="14.1" customHeight="1">
      <c r="A31" s="47" t="s">
        <v>54</v>
      </c>
      <c r="B31" s="48"/>
      <c r="C31" s="45">
        <f>C32+C41</f>
        <v>5504.7936000000009</v>
      </c>
      <c r="D31" s="45">
        <f>D32+D41</f>
        <v>8315.7540000000008</v>
      </c>
      <c r="E31" s="45">
        <f>E32+E41</f>
        <v>5739.54</v>
      </c>
      <c r="F31" s="45">
        <f>F32+F41</f>
        <v>6187.2000000000007</v>
      </c>
      <c r="G31" s="45">
        <f>G32+G41+1</f>
        <v>7952.28</v>
      </c>
      <c r="H31" s="45">
        <v>7758.951</v>
      </c>
      <c r="I31" s="45">
        <v>10574.093000000001</v>
      </c>
      <c r="J31" s="45">
        <f>J32+J41</f>
        <v>5052.8590000000004</v>
      </c>
      <c r="K31" s="45">
        <f>K32+K41</f>
        <v>10250.720000000001</v>
      </c>
    </row>
    <row r="32" spans="1:11" s="28" customFormat="1" ht="14.1" customHeight="1">
      <c r="A32" s="49" t="s">
        <v>55</v>
      </c>
      <c r="B32" s="50"/>
      <c r="C32" s="51">
        <f t="shared" ref="C32:G32" si="0">C33+C39+C40</f>
        <v>5338.2786000000006</v>
      </c>
      <c r="D32" s="51">
        <f t="shared" si="0"/>
        <v>5936.2070000000012</v>
      </c>
      <c r="E32" s="51">
        <f t="shared" si="0"/>
        <v>4676.33</v>
      </c>
      <c r="F32" s="51">
        <f t="shared" si="0"/>
        <v>5500.1</v>
      </c>
      <c r="G32" s="51">
        <f t="shared" si="0"/>
        <v>7819.28</v>
      </c>
      <c r="H32" s="51">
        <v>7501.7950000000001</v>
      </c>
      <c r="I32" s="51">
        <v>9786.9260000000013</v>
      </c>
      <c r="J32" s="51">
        <f>5+J33+J39+J40+1+14</f>
        <v>4832.8590000000004</v>
      </c>
      <c r="K32" s="51">
        <f>K33+K39+K40+4</f>
        <v>8168.7000000000007</v>
      </c>
    </row>
    <row r="33" spans="1:11" s="28" customFormat="1" ht="14.1" customHeight="1">
      <c r="A33" s="49" t="s">
        <v>56</v>
      </c>
      <c r="B33" s="50"/>
      <c r="C33" s="51">
        <v>4680.8676000000005</v>
      </c>
      <c r="D33" s="51">
        <v>4596.8270000000011</v>
      </c>
      <c r="E33" s="51">
        <v>3747.21</v>
      </c>
      <c r="F33" s="51">
        <v>4886.7</v>
      </c>
      <c r="G33" s="51">
        <v>7169.5300000000007</v>
      </c>
      <c r="H33" s="51">
        <v>6968.299</v>
      </c>
      <c r="I33" s="51">
        <v>9424.8260000000009</v>
      </c>
      <c r="J33" s="51">
        <f>56+J34+J35+J36+J37+J38+2.65+0.509+11+3+1+8+5+7+29</f>
        <v>3963.259</v>
      </c>
      <c r="K33" s="51">
        <f>112+K34+K35+K36+K37+K38+1965+15+1+1+4+5+1+2+52.68</f>
        <v>7488.7900000000009</v>
      </c>
    </row>
    <row r="34" spans="1:11" s="28" customFormat="1" ht="14.1" customHeight="1">
      <c r="A34" s="52" t="s">
        <v>57</v>
      </c>
      <c r="B34" s="48"/>
      <c r="C34" s="51">
        <v>47.320000000000007</v>
      </c>
      <c r="D34" s="51">
        <v>377.83799999999997</v>
      </c>
      <c r="E34" s="51">
        <v>75.650000000000006</v>
      </c>
      <c r="F34" s="51">
        <v>38.099999999999994</v>
      </c>
      <c r="G34" s="51">
        <v>91.699999999999989</v>
      </c>
      <c r="H34" s="51">
        <v>92.62</v>
      </c>
      <c r="I34" s="51">
        <v>595</v>
      </c>
      <c r="J34" s="51">
        <f>88+32+71</f>
        <v>191</v>
      </c>
      <c r="K34" s="51">
        <f>12+29+16+15.11</f>
        <v>72.11</v>
      </c>
    </row>
    <row r="35" spans="1:11" s="28" customFormat="1" ht="14.1" customHeight="1">
      <c r="A35" s="49" t="s">
        <v>58</v>
      </c>
      <c r="B35" s="50"/>
      <c r="C35" s="51">
        <v>34.097999999999999</v>
      </c>
      <c r="D35" s="51">
        <v>69.441999999999993</v>
      </c>
      <c r="E35" s="17">
        <v>208.98</v>
      </c>
      <c r="F35" s="17">
        <v>64.7</v>
      </c>
      <c r="G35" s="17">
        <v>256.01</v>
      </c>
      <c r="H35" s="17">
        <v>184.512</v>
      </c>
      <c r="I35" s="17">
        <v>366.2</v>
      </c>
      <c r="J35" s="17">
        <f>36+160+1</f>
        <v>197</v>
      </c>
      <c r="K35" s="17">
        <f>2+384+32+345.98</f>
        <v>763.98</v>
      </c>
    </row>
    <row r="36" spans="1:11" s="28" customFormat="1" ht="14.1" customHeight="1">
      <c r="A36" s="49" t="s">
        <v>59</v>
      </c>
      <c r="B36" s="50"/>
      <c r="C36" s="51">
        <v>522.51099999999997</v>
      </c>
      <c r="D36" s="51">
        <v>1175.7850000000001</v>
      </c>
      <c r="E36" s="17">
        <v>1166.77</v>
      </c>
      <c r="F36" s="17">
        <v>2332.9</v>
      </c>
      <c r="G36" s="17">
        <v>1598.38</v>
      </c>
      <c r="H36" s="17">
        <v>4066.7190000000001</v>
      </c>
      <c r="I36" s="17">
        <v>4294.5</v>
      </c>
      <c r="J36" s="17">
        <f>1313+563+3.1+830</f>
        <v>2709.1</v>
      </c>
      <c r="K36" s="17">
        <f>ROUND(599+1574+466+846.75,0)</f>
        <v>3486</v>
      </c>
    </row>
    <row r="37" spans="1:11" s="28" customFormat="1" ht="14.1" customHeight="1">
      <c r="A37" s="49" t="s">
        <v>60</v>
      </c>
      <c r="B37" s="50"/>
      <c r="C37" s="51">
        <v>177.024</v>
      </c>
      <c r="D37" s="51">
        <v>58.642000000000003</v>
      </c>
      <c r="E37" s="17">
        <v>172.48</v>
      </c>
      <c r="F37" s="17">
        <v>26.7</v>
      </c>
      <c r="G37" s="17">
        <v>3</v>
      </c>
      <c r="H37" s="17">
        <v>10.17</v>
      </c>
      <c r="I37" s="17">
        <v>2</v>
      </c>
      <c r="J37" s="17">
        <f>109+5+97+29</f>
        <v>240</v>
      </c>
      <c r="K37" s="17">
        <f>ROUND(57+22+15+21.61,0)</f>
        <v>116</v>
      </c>
    </row>
    <row r="38" spans="1:11" s="28" customFormat="1" ht="14.1" customHeight="1">
      <c r="A38" s="49" t="s">
        <v>61</v>
      </c>
      <c r="B38" s="50"/>
      <c r="C38" s="51">
        <v>3821.4270000000001</v>
      </c>
      <c r="D38" s="51">
        <v>2801.83</v>
      </c>
      <c r="E38" s="17">
        <f>1740.46+260.64+43.01</f>
        <v>2044.11</v>
      </c>
      <c r="F38" s="17">
        <f>1492.6</f>
        <v>1492.6</v>
      </c>
      <c r="G38" s="17">
        <f>2396+1131.944+1104.059</f>
        <v>4632.0029999999997</v>
      </c>
      <c r="H38" s="17">
        <v>2313.91</v>
      </c>
      <c r="I38" s="17">
        <v>4075</v>
      </c>
      <c r="J38" s="17">
        <f>209+161+8+11+1+2+9+1+101</f>
        <v>503</v>
      </c>
      <c r="K38" s="17">
        <f>74+702+67+49.02</f>
        <v>892.02</v>
      </c>
    </row>
    <row r="39" spans="1:11" s="28" customFormat="1" ht="14.1" customHeight="1">
      <c r="A39" s="49" t="s">
        <v>62</v>
      </c>
      <c r="B39" s="50"/>
      <c r="C39" s="51">
        <v>586.03899999999999</v>
      </c>
      <c r="D39" s="51">
        <v>1286.931</v>
      </c>
      <c r="E39" s="17">
        <v>606.26</v>
      </c>
      <c r="F39" s="17">
        <v>448.1</v>
      </c>
      <c r="G39" s="17">
        <v>590.49</v>
      </c>
      <c r="H39" s="17">
        <v>56.49</v>
      </c>
      <c r="I39" s="17">
        <v>160.1</v>
      </c>
      <c r="J39" s="17">
        <f>265+155+15+129</f>
        <v>564</v>
      </c>
      <c r="K39" s="17">
        <f>171+72+3+146+179.22</f>
        <v>571.22</v>
      </c>
    </row>
    <row r="40" spans="1:11" s="28" customFormat="1" ht="14.1" customHeight="1">
      <c r="A40" s="49" t="s">
        <v>63</v>
      </c>
      <c r="B40" s="50"/>
      <c r="C40" s="51">
        <v>71.372000000000298</v>
      </c>
      <c r="D40" s="51">
        <v>52.448999999999614</v>
      </c>
      <c r="E40" s="17">
        <v>322.85999999999967</v>
      </c>
      <c r="F40" s="17">
        <v>165.30000000000018</v>
      </c>
      <c r="G40" s="17">
        <v>59.259999999999309</v>
      </c>
      <c r="H40" s="17">
        <v>363.00600000000031</v>
      </c>
      <c r="I40" s="17">
        <v>202</v>
      </c>
      <c r="J40" s="17">
        <f>7+6+2.6+43+13+7+84+3+59+34+2+19+3+3</f>
        <v>285.60000000000002</v>
      </c>
      <c r="K40" s="17">
        <f>17+33+20+34.69</f>
        <v>104.69</v>
      </c>
    </row>
    <row r="41" spans="1:11" s="28" customFormat="1" ht="14.1" customHeight="1">
      <c r="A41" s="49" t="s">
        <v>64</v>
      </c>
      <c r="B41" s="50"/>
      <c r="C41" s="51">
        <v>166.51499999999999</v>
      </c>
      <c r="D41" s="51">
        <v>2379.547</v>
      </c>
      <c r="E41" s="17">
        <f>E42</f>
        <v>1063.21</v>
      </c>
      <c r="F41" s="17">
        <f>F42+10.6</f>
        <v>687.1</v>
      </c>
      <c r="G41" s="17">
        <v>132</v>
      </c>
      <c r="H41" s="17">
        <v>257.15600000000001</v>
      </c>
      <c r="I41" s="17">
        <v>787.16699999999992</v>
      </c>
      <c r="J41" s="17">
        <f>3+J42+5</f>
        <v>220</v>
      </c>
      <c r="K41" s="17">
        <f>K42+2+6+61+7+370.1</f>
        <v>2082.02</v>
      </c>
    </row>
    <row r="42" spans="1:11" s="28" customFormat="1" ht="14.1" customHeight="1">
      <c r="A42" s="49" t="s">
        <v>65</v>
      </c>
      <c r="B42" s="50"/>
      <c r="C42" s="51">
        <v>163.309</v>
      </c>
      <c r="D42" s="51">
        <v>2379.547</v>
      </c>
      <c r="E42" s="17">
        <v>1063.21</v>
      </c>
      <c r="F42" s="17">
        <v>676.5</v>
      </c>
      <c r="G42" s="17">
        <v>132</v>
      </c>
      <c r="H42" s="17">
        <v>230.15600000000001</v>
      </c>
      <c r="I42" s="17">
        <v>387.8</v>
      </c>
      <c r="J42" s="17">
        <f>122+69+21</f>
        <v>212</v>
      </c>
      <c r="K42" s="17">
        <f>19+5+18+1593.92</f>
        <v>1635.92</v>
      </c>
    </row>
    <row r="43" spans="1:11" s="28" customFormat="1" ht="14.1" customHeight="1">
      <c r="A43" s="47" t="s">
        <v>66</v>
      </c>
      <c r="B43" s="48"/>
      <c r="C43" s="45">
        <f>C44+C48+C51</f>
        <v>1685.3969999999999</v>
      </c>
      <c r="D43" s="45">
        <f>D44+D48+D51</f>
        <v>3196.002</v>
      </c>
      <c r="E43" s="45">
        <f>E44+E48+E51</f>
        <v>5679.47</v>
      </c>
      <c r="F43" s="45">
        <f>F44+F48+F51-1</f>
        <v>2605.5</v>
      </c>
      <c r="G43" s="45">
        <f>G44+G48+G51</f>
        <v>5996.32</v>
      </c>
      <c r="H43" s="45">
        <v>5074.576</v>
      </c>
      <c r="I43" s="45">
        <v>9762.398000000001</v>
      </c>
      <c r="J43" s="45">
        <f>J44+J48+J51</f>
        <v>4425.3060000000005</v>
      </c>
      <c r="K43" s="45">
        <f>K44+K48+K51</f>
        <v>3899.9600000000005</v>
      </c>
    </row>
    <row r="44" spans="1:11" s="28" customFormat="1" ht="14.1" customHeight="1">
      <c r="A44" s="49" t="s">
        <v>67</v>
      </c>
      <c r="B44" s="50"/>
      <c r="C44" s="51">
        <f t="shared" ref="C44:G44" si="1">C45+C46+C47</f>
        <v>295.935</v>
      </c>
      <c r="D44" s="51">
        <f t="shared" si="1"/>
        <v>1123.9349999999999</v>
      </c>
      <c r="E44" s="51">
        <f t="shared" si="1"/>
        <v>1929.06</v>
      </c>
      <c r="F44" s="51">
        <f t="shared" si="1"/>
        <v>1056.0999999999999</v>
      </c>
      <c r="G44" s="51">
        <f t="shared" si="1"/>
        <v>2019.2</v>
      </c>
      <c r="H44" s="51">
        <v>3523.1930000000002</v>
      </c>
      <c r="I44" s="51">
        <v>5852.277</v>
      </c>
      <c r="J44" s="17">
        <f>J45+J46+J47</f>
        <v>2044</v>
      </c>
      <c r="K44" s="17">
        <f>K45+K46+K47</f>
        <v>1436.7800000000002</v>
      </c>
    </row>
    <row r="45" spans="1:11" s="28" customFormat="1" ht="14.1" customHeight="1">
      <c r="A45" s="49" t="s">
        <v>68</v>
      </c>
      <c r="B45" s="50"/>
      <c r="C45" s="51">
        <v>126.605</v>
      </c>
      <c r="D45" s="51">
        <v>577.41300000000001</v>
      </c>
      <c r="E45" s="17">
        <v>48.98</v>
      </c>
      <c r="F45" s="17">
        <v>196.3</v>
      </c>
      <c r="G45" s="17">
        <v>135.30000000000001</v>
      </c>
      <c r="H45" s="17">
        <v>246.16</v>
      </c>
      <c r="I45" s="17">
        <v>145.27699999999999</v>
      </c>
      <c r="J45" s="17">
        <f>35+62+56</f>
        <v>153</v>
      </c>
      <c r="K45" s="17">
        <f>42+20+6+13.42</f>
        <v>81.42</v>
      </c>
    </row>
    <row r="46" spans="1:11" s="28" customFormat="1" ht="14.1" customHeight="1">
      <c r="A46" s="49" t="s">
        <v>69</v>
      </c>
      <c r="B46" s="50"/>
      <c r="C46" s="51">
        <v>38.293999999999997</v>
      </c>
      <c r="D46" s="51">
        <v>497.54300000000001</v>
      </c>
      <c r="E46" s="17">
        <v>1414.77</v>
      </c>
      <c r="F46" s="17">
        <v>509.7</v>
      </c>
      <c r="G46" s="17">
        <v>1468.47</v>
      </c>
      <c r="H46" s="17">
        <v>3003.4850000000001</v>
      </c>
      <c r="I46" s="17">
        <v>5344</v>
      </c>
      <c r="J46" s="17">
        <f>300+725+1+472</f>
        <v>1498</v>
      </c>
      <c r="K46" s="17">
        <f>400+198+306+193.22</f>
        <v>1097.22</v>
      </c>
    </row>
    <row r="47" spans="1:11" s="28" customFormat="1" ht="14.1" customHeight="1">
      <c r="A47" s="49" t="s">
        <v>70</v>
      </c>
      <c r="B47" s="50"/>
      <c r="C47" s="51">
        <v>131.036</v>
      </c>
      <c r="D47" s="51">
        <v>48.978999999999928</v>
      </c>
      <c r="E47" s="51">
        <v>465.30999999999995</v>
      </c>
      <c r="F47" s="51">
        <v>350.09999999999997</v>
      </c>
      <c r="G47" s="51">
        <v>415.43000000000006</v>
      </c>
      <c r="H47" s="51">
        <v>273.548</v>
      </c>
      <c r="I47" s="51">
        <v>363</v>
      </c>
      <c r="J47" s="17">
        <f>56+247+14+11+1+5+18+2+6+33</f>
        <v>393</v>
      </c>
      <c r="K47" s="17">
        <f>72+110+40+36.14</f>
        <v>258.14</v>
      </c>
    </row>
    <row r="48" spans="1:11" s="28" customFormat="1" ht="14.1" customHeight="1">
      <c r="A48" s="49" t="s">
        <v>71</v>
      </c>
      <c r="B48" s="50"/>
      <c r="C48" s="51">
        <v>45.253</v>
      </c>
      <c r="D48" s="51">
        <v>25.31</v>
      </c>
      <c r="E48" s="17">
        <f>E49+43.56+52.26+E50</f>
        <v>553.04000000000008</v>
      </c>
      <c r="F48" s="17">
        <f>F49+85.6+F50</f>
        <v>121.4</v>
      </c>
      <c r="G48" s="17">
        <v>69</v>
      </c>
      <c r="H48" s="17">
        <v>177.81</v>
      </c>
      <c r="I48" s="17">
        <v>9</v>
      </c>
      <c r="J48" s="17">
        <f>J49+J50+1</f>
        <v>46</v>
      </c>
      <c r="K48" s="17">
        <f>K49+K50</f>
        <v>22.96</v>
      </c>
    </row>
    <row r="49" spans="1:11" s="28" customFormat="1" ht="14.1" customHeight="1">
      <c r="A49" s="49" t="s">
        <v>72</v>
      </c>
      <c r="B49" s="50"/>
      <c r="C49" s="51" t="s">
        <v>15</v>
      </c>
      <c r="D49" s="51" t="s">
        <v>15</v>
      </c>
      <c r="E49" s="17">
        <v>448</v>
      </c>
      <c r="F49" s="17">
        <v>3</v>
      </c>
      <c r="G49" s="51" t="s">
        <v>15</v>
      </c>
      <c r="H49" s="17">
        <v>175.98</v>
      </c>
      <c r="I49" s="53">
        <v>0</v>
      </c>
      <c r="J49" s="53">
        <v>0</v>
      </c>
      <c r="K49" s="53">
        <v>0</v>
      </c>
    </row>
    <row r="50" spans="1:11" s="28" customFormat="1" ht="14.1" customHeight="1">
      <c r="A50" s="49" t="s">
        <v>73</v>
      </c>
      <c r="B50" s="50"/>
      <c r="C50" s="51">
        <v>12.635999999999999</v>
      </c>
      <c r="D50" s="51" t="s">
        <v>15</v>
      </c>
      <c r="E50" s="17">
        <v>9.2200000000000006</v>
      </c>
      <c r="F50" s="17">
        <v>32.800000000000004</v>
      </c>
      <c r="G50" s="17">
        <v>5</v>
      </c>
      <c r="H50" s="53">
        <v>0</v>
      </c>
      <c r="I50" s="17">
        <v>9</v>
      </c>
      <c r="J50" s="17">
        <v>45</v>
      </c>
      <c r="K50" s="17">
        <f>21+1.96</f>
        <v>22.96</v>
      </c>
    </row>
    <row r="51" spans="1:11" s="28" customFormat="1" ht="14.1" customHeight="1">
      <c r="A51" s="49" t="s">
        <v>74</v>
      </c>
      <c r="B51" s="50"/>
      <c r="C51" s="51">
        <v>1344.2090000000001</v>
      </c>
      <c r="D51" s="51">
        <v>2046.7570000000001</v>
      </c>
      <c r="E51" s="17">
        <f>E52+14.36+4.01</f>
        <v>3197.3700000000003</v>
      </c>
      <c r="F51" s="17">
        <f>F52+2</f>
        <v>1429</v>
      </c>
      <c r="G51" s="17">
        <v>3908.12</v>
      </c>
      <c r="H51" s="17">
        <v>1373.5729999999999</v>
      </c>
      <c r="I51" s="17">
        <v>3901.1210000000001</v>
      </c>
      <c r="J51" s="17">
        <f>J52+J61</f>
        <v>2335.306</v>
      </c>
      <c r="K51" s="17">
        <f>K52+K61</f>
        <v>2440.2200000000003</v>
      </c>
    </row>
    <row r="52" spans="1:11" s="28" customFormat="1" ht="14.1" customHeight="1">
      <c r="A52" s="49" t="s">
        <v>75</v>
      </c>
      <c r="B52" s="50"/>
      <c r="C52" s="51">
        <v>1322</v>
      </c>
      <c r="D52" s="51">
        <v>1971</v>
      </c>
      <c r="E52" s="51">
        <v>3179</v>
      </c>
      <c r="F52" s="51">
        <v>1427</v>
      </c>
      <c r="G52" s="51">
        <v>3905</v>
      </c>
      <c r="H52" s="51">
        <v>1372.5729999999999</v>
      </c>
      <c r="I52" s="51">
        <v>3898.598</v>
      </c>
      <c r="J52" s="51">
        <f>J53+J55</f>
        <v>2200.306</v>
      </c>
      <c r="K52" s="51">
        <f>K53+K55</f>
        <v>2422.3700000000003</v>
      </c>
    </row>
    <row r="53" spans="1:11" s="28" customFormat="1" ht="14.1" customHeight="1">
      <c r="A53" s="49" t="s">
        <v>76</v>
      </c>
      <c r="B53" s="50"/>
      <c r="C53" s="51">
        <v>998.47400000000005</v>
      </c>
      <c r="D53" s="51">
        <v>1284.694</v>
      </c>
      <c r="E53" s="17">
        <f>E54+90.33</f>
        <v>937.30000000000007</v>
      </c>
      <c r="F53" s="17">
        <f>F54</f>
        <v>382.1</v>
      </c>
      <c r="G53" s="17">
        <v>338</v>
      </c>
      <c r="H53" s="17">
        <v>392.57299999999998</v>
      </c>
      <c r="I53" s="17">
        <v>360.59800000000001</v>
      </c>
      <c r="J53" s="17">
        <f>0.306+120+50+22+26</f>
        <v>218.30599999999998</v>
      </c>
      <c r="K53" s="17">
        <f>K54+8+7</f>
        <v>635.89</v>
      </c>
    </row>
    <row r="54" spans="1:11" s="28" customFormat="1" ht="14.1" customHeight="1">
      <c r="A54" s="49" t="s">
        <v>77</v>
      </c>
      <c r="B54" s="50"/>
      <c r="C54" s="51">
        <v>113.974</v>
      </c>
      <c r="D54" s="51">
        <v>1284.694</v>
      </c>
      <c r="E54" s="17">
        <v>846.97</v>
      </c>
      <c r="F54" s="17">
        <v>382.1</v>
      </c>
      <c r="G54" s="17">
        <v>338</v>
      </c>
      <c r="H54" s="17">
        <v>392.57299999999998</v>
      </c>
      <c r="I54" s="17">
        <v>336</v>
      </c>
      <c r="J54" s="17">
        <v>216</v>
      </c>
      <c r="K54" s="17">
        <f>116+331+113+60.89</f>
        <v>620.89</v>
      </c>
    </row>
    <row r="55" spans="1:11" s="28" customFormat="1" ht="14.1" customHeight="1">
      <c r="A55" s="49" t="s">
        <v>78</v>
      </c>
      <c r="B55" s="50"/>
      <c r="C55" s="51">
        <f t="shared" ref="C55:G55" si="2">C56+C58</f>
        <v>246</v>
      </c>
      <c r="D55" s="51">
        <f t="shared" si="2"/>
        <v>669</v>
      </c>
      <c r="E55" s="51">
        <f t="shared" si="2"/>
        <v>2126</v>
      </c>
      <c r="F55" s="51">
        <f t="shared" si="2"/>
        <v>974</v>
      </c>
      <c r="G55" s="51">
        <f t="shared" si="2"/>
        <v>3518</v>
      </c>
      <c r="H55" s="51">
        <v>980</v>
      </c>
      <c r="I55" s="51">
        <v>3538</v>
      </c>
      <c r="J55" s="51">
        <f>J56+J58</f>
        <v>1982</v>
      </c>
      <c r="K55" s="51">
        <f>K56+K58</f>
        <v>1786.4800000000002</v>
      </c>
    </row>
    <row r="56" spans="1:11" s="28" customFormat="1" ht="14.1" customHeight="1">
      <c r="A56" s="49" t="s">
        <v>79</v>
      </c>
      <c r="B56" s="50"/>
      <c r="C56" s="51">
        <f>50+160</f>
        <v>210</v>
      </c>
      <c r="D56" s="51">
        <v>610</v>
      </c>
      <c r="E56" s="54">
        <v>1921</v>
      </c>
      <c r="F56" s="54">
        <v>320</v>
      </c>
      <c r="G56" s="54">
        <v>2887</v>
      </c>
      <c r="H56" s="17">
        <v>521</v>
      </c>
      <c r="I56" s="17">
        <v>707</v>
      </c>
      <c r="J56" s="17">
        <f>31+20+24</f>
        <v>75</v>
      </c>
      <c r="K56" s="17">
        <f>K57+27</f>
        <v>171.72</v>
      </c>
    </row>
    <row r="57" spans="1:11" s="28" customFormat="1" ht="14.1" customHeight="1">
      <c r="A57" s="52"/>
      <c r="B57" s="48" t="s">
        <v>80</v>
      </c>
      <c r="C57" s="51"/>
      <c r="D57" s="51">
        <v>610</v>
      </c>
      <c r="E57" s="17">
        <v>1921</v>
      </c>
      <c r="F57" s="17">
        <v>320</v>
      </c>
      <c r="G57" s="17">
        <v>2887</v>
      </c>
      <c r="H57" s="17">
        <v>513</v>
      </c>
      <c r="I57" s="17">
        <v>692</v>
      </c>
      <c r="J57" s="17">
        <f>31+20+24</f>
        <v>75</v>
      </c>
      <c r="K57" s="17">
        <f>67+103+9.75-65+29.97</f>
        <v>144.72</v>
      </c>
    </row>
    <row r="58" spans="1:11" s="28" customFormat="1" ht="14.1" customHeight="1">
      <c r="A58" s="49" t="s">
        <v>81</v>
      </c>
      <c r="B58" s="50"/>
      <c r="C58" s="51">
        <f>6+30</f>
        <v>36</v>
      </c>
      <c r="D58" s="51">
        <f>18+17+23+1</f>
        <v>59</v>
      </c>
      <c r="E58" s="17">
        <f>78+8+119</f>
        <v>205</v>
      </c>
      <c r="F58" s="17">
        <f>348+2+304</f>
        <v>654</v>
      </c>
      <c r="G58" s="17">
        <f>280+24+2+285+40</f>
        <v>631</v>
      </c>
      <c r="H58" s="17">
        <v>459</v>
      </c>
      <c r="I58" s="17">
        <v>2831</v>
      </c>
      <c r="J58" s="17">
        <f>1029+156+20+1+61+640</f>
        <v>1907</v>
      </c>
      <c r="K58" s="17">
        <f>K59+K60</f>
        <v>1614.7600000000002</v>
      </c>
    </row>
    <row r="59" spans="1:11" s="28" customFormat="1" ht="14.1" customHeight="1">
      <c r="A59" s="55"/>
      <c r="B59" s="48" t="s">
        <v>82</v>
      </c>
      <c r="C59" s="51"/>
      <c r="D59" s="53">
        <v>0</v>
      </c>
      <c r="E59" s="51">
        <v>78</v>
      </c>
      <c r="F59" s="51">
        <v>305</v>
      </c>
      <c r="G59" s="51">
        <v>279</v>
      </c>
      <c r="H59" s="51">
        <v>245</v>
      </c>
      <c r="I59" s="51">
        <v>2558</v>
      </c>
      <c r="J59" s="51">
        <f>132+856+640</f>
        <v>1628</v>
      </c>
      <c r="K59" s="51">
        <f>95+169+5+138.61</f>
        <v>407.61</v>
      </c>
    </row>
    <row r="60" spans="1:11" s="28" customFormat="1" ht="14.1" customHeight="1">
      <c r="A60" s="55"/>
      <c r="B60" s="48" t="s">
        <v>83</v>
      </c>
      <c r="C60" s="51"/>
      <c r="D60" s="51">
        <f t="shared" ref="D60:G60" si="3">D58-D59</f>
        <v>59</v>
      </c>
      <c r="E60" s="54">
        <f t="shared" si="3"/>
        <v>127</v>
      </c>
      <c r="F60" s="54">
        <f t="shared" si="3"/>
        <v>349</v>
      </c>
      <c r="G60" s="54">
        <f t="shared" si="3"/>
        <v>352</v>
      </c>
      <c r="H60" s="51">
        <v>214</v>
      </c>
      <c r="I60" s="51">
        <v>273</v>
      </c>
      <c r="J60" s="51">
        <f>5+18+173+83</f>
        <v>279</v>
      </c>
      <c r="K60" s="51">
        <f>35+42+102+6.75+6+65+875+11+64.4</f>
        <v>1207.1500000000001</v>
      </c>
    </row>
    <row r="61" spans="1:11" s="28" customFormat="1" ht="14.1" customHeight="1">
      <c r="A61" s="49" t="s">
        <v>84</v>
      </c>
      <c r="B61" s="50"/>
      <c r="C61" s="51"/>
      <c r="D61" s="53">
        <v>0</v>
      </c>
      <c r="E61" s="53">
        <v>0</v>
      </c>
      <c r="F61" s="53">
        <v>0</v>
      </c>
      <c r="G61" s="17">
        <v>3</v>
      </c>
      <c r="H61" s="17">
        <v>1</v>
      </c>
      <c r="I61" s="17">
        <v>2.5</v>
      </c>
      <c r="J61" s="17">
        <f>91+12+32</f>
        <v>135</v>
      </c>
      <c r="K61" s="17">
        <f>14+3.85</f>
        <v>17.850000000000001</v>
      </c>
    </row>
    <row r="62" spans="1:11" s="28" customFormat="1" ht="14.1" customHeight="1">
      <c r="A62" s="56" t="s">
        <v>85</v>
      </c>
      <c r="B62" s="57"/>
      <c r="C62" s="58">
        <v>32.295000000000002</v>
      </c>
      <c r="D62" s="58">
        <v>1.9690000000000001</v>
      </c>
      <c r="E62" s="59">
        <v>0</v>
      </c>
      <c r="F62" s="59">
        <v>0</v>
      </c>
      <c r="G62" s="59">
        <v>0</v>
      </c>
      <c r="H62" s="58">
        <v>60</v>
      </c>
      <c r="I62" s="58">
        <v>37</v>
      </c>
      <c r="J62" s="58">
        <v>34</v>
      </c>
      <c r="K62" s="59">
        <v>0</v>
      </c>
    </row>
    <row r="63" spans="1:11" s="61" customFormat="1" ht="62.25" customHeight="1">
      <c r="A63" s="60" t="s">
        <v>86</v>
      </c>
      <c r="B63" s="60"/>
      <c r="C63" s="60"/>
      <c r="D63" s="60"/>
      <c r="E63" s="60"/>
      <c r="F63" s="60"/>
      <c r="G63" s="60"/>
      <c r="H63" s="60"/>
      <c r="I63" s="60"/>
      <c r="J63" s="60"/>
      <c r="K63" s="60"/>
    </row>
    <row r="64" spans="1:11" s="61" customFormat="1" ht="13.5">
      <c r="A64" s="62" t="s">
        <v>87</v>
      </c>
      <c r="B64" s="62"/>
      <c r="C64" s="62"/>
      <c r="D64" s="62"/>
      <c r="E64" s="62"/>
      <c r="F64" s="62"/>
      <c r="H64" s="63"/>
      <c r="I64" s="64"/>
      <c r="J64" s="64"/>
      <c r="K64" s="63"/>
    </row>
    <row r="65" spans="1:11" s="61" customFormat="1" ht="13.5">
      <c r="A65" s="65" t="s">
        <v>88</v>
      </c>
      <c r="B65" s="62"/>
      <c r="C65" s="62"/>
      <c r="D65" s="62"/>
      <c r="E65" s="62"/>
      <c r="F65" s="62"/>
      <c r="H65" s="63"/>
      <c r="I65" s="64"/>
      <c r="J65" s="64"/>
      <c r="K65" s="63"/>
    </row>
    <row r="66" spans="1:11" s="61" customFormat="1" ht="13.5">
      <c r="A66" s="65" t="s">
        <v>89</v>
      </c>
      <c r="B66" s="62"/>
      <c r="C66" s="62"/>
      <c r="D66" s="62"/>
      <c r="E66" s="62"/>
      <c r="F66" s="62"/>
      <c r="H66" s="66"/>
      <c r="I66" s="67"/>
      <c r="J66" s="67"/>
      <c r="K66" s="68"/>
    </row>
    <row r="67" spans="1:11" s="61" customFormat="1" ht="12">
      <c r="A67" s="65" t="s">
        <v>90</v>
      </c>
    </row>
    <row r="68" spans="1:11" s="28" customFormat="1" ht="12">
      <c r="C68" s="69"/>
      <c r="D68" s="69"/>
    </row>
    <row r="69" spans="1:11" s="28" customFormat="1" ht="12">
      <c r="C69" s="69"/>
      <c r="D69" s="69"/>
    </row>
    <row r="70" spans="1:11" s="28" customFormat="1" ht="12">
      <c r="C70" s="70"/>
      <c r="D70" s="70"/>
    </row>
    <row r="71" spans="1:11" s="28" customFormat="1" ht="12">
      <c r="C71" s="69"/>
      <c r="D71" s="69"/>
    </row>
    <row r="72" spans="1:11" s="28" customFormat="1" ht="12">
      <c r="C72" s="69"/>
      <c r="D72" s="69"/>
    </row>
    <row r="73" spans="1:11" ht="12">
      <c r="A73" s="71"/>
      <c r="H73" s="28"/>
      <c r="I73" s="28"/>
      <c r="J73" s="28"/>
      <c r="K73" s="28"/>
    </row>
    <row r="74" spans="1:11">
      <c r="A74" s="71"/>
    </row>
    <row r="75" spans="1:11">
      <c r="A75" s="71"/>
    </row>
    <row r="76" spans="1:11">
      <c r="A76" s="71"/>
    </row>
    <row r="77" spans="1:11">
      <c r="A77" s="71"/>
    </row>
    <row r="78" spans="1:11">
      <c r="A78" s="71"/>
    </row>
    <row r="79" spans="1:11">
      <c r="A79" s="71"/>
    </row>
    <row r="80" spans="1:11">
      <c r="A80" s="71"/>
    </row>
    <row r="81" spans="1:1">
      <c r="A81" s="71"/>
    </row>
    <row r="82" spans="1:1">
      <c r="A82" s="71"/>
    </row>
    <row r="83" spans="1:1">
      <c r="A83" s="71"/>
    </row>
    <row r="84" spans="1:1">
      <c r="A84" s="71"/>
    </row>
    <row r="85" spans="1:1">
      <c r="A85" s="71"/>
    </row>
    <row r="86" spans="1:1">
      <c r="A86" s="71"/>
    </row>
    <row r="87" spans="1:1">
      <c r="A87" s="71"/>
    </row>
    <row r="88" spans="1:1">
      <c r="A88" s="71"/>
    </row>
    <row r="89" spans="1:1">
      <c r="A89" s="71"/>
    </row>
    <row r="90" spans="1:1">
      <c r="A90" s="71"/>
    </row>
    <row r="91" spans="1:1">
      <c r="A91" s="71"/>
    </row>
    <row r="92" spans="1:1">
      <c r="A92" s="71"/>
    </row>
    <row r="93" spans="1:1">
      <c r="A93" s="71"/>
    </row>
    <row r="94" spans="1:1">
      <c r="A94" s="71"/>
    </row>
    <row r="95" spans="1:1">
      <c r="A95" s="71"/>
    </row>
    <row r="96" spans="1:1">
      <c r="A96" s="71"/>
    </row>
  </sheetData>
  <mergeCells count="41">
    <mergeCell ref="A58:B58"/>
    <mergeCell ref="A61:B61"/>
    <mergeCell ref="A62:B62"/>
    <mergeCell ref="A63:K63"/>
    <mergeCell ref="H66:J66"/>
    <mergeCell ref="A51:B51"/>
    <mergeCell ref="A52:B52"/>
    <mergeCell ref="A53:B53"/>
    <mergeCell ref="A54:B54"/>
    <mergeCell ref="A55:B55"/>
    <mergeCell ref="A56:B56"/>
    <mergeCell ref="A45:B45"/>
    <mergeCell ref="A46:B46"/>
    <mergeCell ref="A47:B47"/>
    <mergeCell ref="A48:B48"/>
    <mergeCell ref="A49:B49"/>
    <mergeCell ref="A50:B50"/>
    <mergeCell ref="A38:B38"/>
    <mergeCell ref="A39:B39"/>
    <mergeCell ref="A40:B40"/>
    <mergeCell ref="A41:B41"/>
    <mergeCell ref="A42:B42"/>
    <mergeCell ref="A44:B44"/>
    <mergeCell ref="A29:B29"/>
    <mergeCell ref="A32:B32"/>
    <mergeCell ref="A33:B33"/>
    <mergeCell ref="A35:B35"/>
    <mergeCell ref="A36:B36"/>
    <mergeCell ref="A37:B37"/>
    <mergeCell ref="G4:G5"/>
    <mergeCell ref="H4:H5"/>
    <mergeCell ref="I4:I5"/>
    <mergeCell ref="J4:J5"/>
    <mergeCell ref="K4:K5"/>
    <mergeCell ref="A22:B22"/>
    <mergeCell ref="A4:A5"/>
    <mergeCell ref="B4:B5"/>
    <mergeCell ref="C4:C5"/>
    <mergeCell ref="D4:D5"/>
    <mergeCell ref="E4:E5"/>
    <mergeCell ref="F4:F5"/>
  </mergeCells>
  <printOptions horizontalCentered="1" verticalCentered="1"/>
  <pageMargins left="0.55118110236220474" right="0" top="0.11811023622047245" bottom="0" header="0" footer="0"/>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Chitananda Ellapah</cp:lastModifiedBy>
  <dcterms:created xsi:type="dcterms:W3CDTF">2015-03-18T09:58:10Z</dcterms:created>
  <dcterms:modified xsi:type="dcterms:W3CDTF">2015-03-18T09:59:28Z</dcterms:modified>
</cp:coreProperties>
</file>