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11760" tabRatio="563"/>
  </bookViews>
  <sheets>
    <sheet name="51" sheetId="4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'[1]Table-1'!#REF!</definedName>
    <definedName name="_xlnm.Print_Area" localSheetId="0">'51'!$A$1:$L$125</definedName>
    <definedName name="Print_Area_MI" localSheetId="0">#REF!</definedName>
    <definedName name="Print_Area_MI">#REF!</definedName>
    <definedName name="_xlnm.Print_Titles" localSheetId="0">'51'!$1:$2</definedName>
  </definedNames>
  <calcPr calcId="145621"/>
</workbook>
</file>

<file path=xl/calcChain.xml><?xml version="1.0" encoding="utf-8"?>
<calcChain xmlns="http://schemas.openxmlformats.org/spreadsheetml/2006/main">
  <c r="G41" i="4" l="1"/>
  <c r="K86" i="4" l="1"/>
  <c r="K85" i="4" s="1"/>
  <c r="K88" i="4"/>
  <c r="K87" i="4" s="1"/>
  <c r="G61" i="4" l="1"/>
  <c r="G62" i="4"/>
  <c r="G63" i="4"/>
  <c r="G64" i="4"/>
  <c r="G65" i="4"/>
  <c r="G67" i="4"/>
  <c r="G68" i="4"/>
  <c r="G69" i="4"/>
  <c r="G70" i="4"/>
  <c r="G71" i="4"/>
  <c r="G74" i="4"/>
  <c r="G75" i="4"/>
  <c r="G77" i="4"/>
  <c r="G78" i="4"/>
  <c r="G79" i="4"/>
  <c r="G82" i="4"/>
  <c r="G85" i="4"/>
  <c r="G86" i="4"/>
  <c r="G87" i="4"/>
  <c r="G88" i="4"/>
  <c r="G91" i="4"/>
  <c r="G92" i="4"/>
  <c r="G93" i="4"/>
  <c r="G94" i="4"/>
  <c r="G97" i="4"/>
  <c r="G98" i="4"/>
  <c r="G99" i="4"/>
  <c r="G102" i="4"/>
  <c r="G103" i="4"/>
  <c r="G104" i="4"/>
  <c r="G105" i="4"/>
  <c r="G106" i="4"/>
  <c r="G107" i="4"/>
  <c r="G109" i="4"/>
  <c r="G110" i="4"/>
  <c r="G111" i="4"/>
  <c r="G112" i="4"/>
  <c r="G113" i="4"/>
  <c r="G114" i="4"/>
  <c r="G116" i="4"/>
  <c r="G117" i="4"/>
  <c r="G118" i="4"/>
  <c r="G119" i="4"/>
  <c r="G120" i="4"/>
  <c r="G13" i="4"/>
  <c r="G14" i="4"/>
  <c r="G16" i="4"/>
  <c r="G17" i="4"/>
  <c r="G18" i="4"/>
  <c r="G21" i="4"/>
  <c r="G22" i="4"/>
  <c r="G23" i="4"/>
  <c r="G24" i="4"/>
  <c r="G26" i="4"/>
  <c r="G27" i="4"/>
  <c r="G29" i="4"/>
  <c r="G30" i="4"/>
  <c r="G33" i="4"/>
  <c r="G34" i="4"/>
  <c r="G35" i="4"/>
  <c r="G37" i="4"/>
  <c r="G38" i="4"/>
  <c r="G40" i="4"/>
  <c r="G44" i="4"/>
  <c r="G45" i="4"/>
  <c r="G46" i="4"/>
  <c r="G47" i="4"/>
  <c r="G48" i="4"/>
  <c r="G50" i="4"/>
  <c r="G51" i="4"/>
  <c r="G52" i="4"/>
  <c r="G53" i="4"/>
  <c r="G54" i="4"/>
  <c r="L61" i="4" l="1"/>
  <c r="L63" i="4"/>
  <c r="L65" i="4"/>
  <c r="L67" i="4"/>
  <c r="L68" i="4"/>
  <c r="L69" i="4"/>
  <c r="L71" i="4"/>
  <c r="L74" i="4"/>
  <c r="L75" i="4"/>
  <c r="L77" i="4"/>
  <c r="L79" i="4"/>
  <c r="L82" i="4"/>
  <c r="L102" i="4"/>
  <c r="L103" i="4"/>
  <c r="L104" i="4"/>
  <c r="L107" i="4"/>
  <c r="L109" i="4"/>
  <c r="L110" i="4"/>
  <c r="L111" i="4"/>
  <c r="L114" i="4"/>
  <c r="L116" i="4"/>
  <c r="L117" i="4"/>
  <c r="L118" i="4"/>
  <c r="L119" i="4"/>
  <c r="L120" i="4"/>
  <c r="L22" i="4" l="1"/>
  <c r="L23" i="4"/>
  <c r="L24" i="4"/>
  <c r="L26" i="4"/>
  <c r="L27" i="4"/>
  <c r="L29" i="4"/>
  <c r="L30" i="4"/>
  <c r="L33" i="4"/>
  <c r="L34" i="4"/>
  <c r="L35" i="4"/>
  <c r="L37" i="4"/>
  <c r="L38" i="4"/>
  <c r="L40" i="4"/>
  <c r="L41" i="4"/>
  <c r="L44" i="4"/>
  <c r="L46" i="4"/>
  <c r="L48" i="4"/>
  <c r="L50" i="4"/>
  <c r="L51" i="4"/>
  <c r="L52" i="4"/>
  <c r="L54" i="4"/>
  <c r="L13" i="4"/>
  <c r="L14" i="4"/>
  <c r="L16" i="4"/>
  <c r="L17" i="4"/>
  <c r="L18" i="4"/>
  <c r="K115" i="4" l="1"/>
  <c r="K99" i="4" l="1"/>
  <c r="K97" i="4"/>
  <c r="K94" i="4"/>
  <c r="K92" i="4"/>
  <c r="L97" i="4" l="1"/>
  <c r="L92" i="4"/>
  <c r="L94" i="4"/>
  <c r="L99" i="4"/>
  <c r="K113" i="4"/>
  <c r="K106" i="4"/>
  <c r="L113" i="4" l="1"/>
  <c r="L86" i="4"/>
  <c r="L88" i="4"/>
  <c r="L106" i="4"/>
  <c r="K96" i="4"/>
  <c r="K91" i="4"/>
  <c r="K108" i="4" l="1"/>
  <c r="K98" i="4"/>
  <c r="K66" i="4" l="1"/>
  <c r="K73" i="4"/>
  <c r="K76" i="4"/>
  <c r="K81" i="4"/>
  <c r="K84" i="4"/>
  <c r="K93" i="4"/>
  <c r="K95" i="4"/>
  <c r="K105" i="4"/>
  <c r="K10" i="4"/>
  <c r="K11" i="4"/>
  <c r="K12" i="4"/>
  <c r="K15" i="4"/>
  <c r="K21" i="4"/>
  <c r="K25" i="4"/>
  <c r="K28" i="4"/>
  <c r="K32" i="4"/>
  <c r="K36" i="4"/>
  <c r="K39" i="4"/>
  <c r="K49" i="4"/>
  <c r="K101" i="4" l="1"/>
  <c r="K90" i="4"/>
  <c r="K72" i="4"/>
  <c r="K31" i="4"/>
  <c r="K20" i="4"/>
  <c r="K9" i="4"/>
  <c r="K60" i="4"/>
  <c r="K43" i="4"/>
  <c r="J62" i="4"/>
  <c r="K89" i="4" l="1"/>
  <c r="K100" i="4"/>
  <c r="K42" i="4"/>
  <c r="K19" i="4"/>
  <c r="J112" i="4"/>
  <c r="J96" i="4"/>
  <c r="J91" i="4"/>
  <c r="J87" i="4"/>
  <c r="K83" i="4" l="1"/>
  <c r="K80" i="4" s="1"/>
  <c r="K8" i="4"/>
  <c r="K7" i="4"/>
  <c r="J64" i="4"/>
  <c r="K121" i="4" l="1"/>
  <c r="J47" i="4"/>
  <c r="J78" i="4" l="1"/>
  <c r="J45" i="4"/>
  <c r="J70" i="4" l="1"/>
  <c r="J66" i="4" s="1"/>
  <c r="J53" i="4"/>
  <c r="J76" i="4" l="1"/>
  <c r="J73" i="4"/>
  <c r="J72" i="4"/>
  <c r="J60" i="4"/>
  <c r="J49" i="4"/>
  <c r="J39" i="4"/>
  <c r="J36" i="4"/>
  <c r="J32" i="4"/>
  <c r="J31" i="4" s="1"/>
  <c r="J28" i="4"/>
  <c r="J43" i="4" l="1"/>
  <c r="J42" i="4"/>
  <c r="J25" i="4"/>
  <c r="J21" i="4"/>
  <c r="J15" i="4"/>
  <c r="J12" i="4"/>
  <c r="J11" i="4"/>
  <c r="J10" i="4"/>
  <c r="C15" i="4"/>
  <c r="C10" i="4"/>
  <c r="C11" i="4"/>
  <c r="D11" i="4"/>
  <c r="E11" i="4"/>
  <c r="F11" i="4"/>
  <c r="D10" i="4"/>
  <c r="E10" i="4"/>
  <c r="F10" i="4"/>
  <c r="H10" i="4"/>
  <c r="G11" i="4" l="1"/>
  <c r="G10" i="4"/>
  <c r="J9" i="4"/>
  <c r="J20" i="4"/>
  <c r="J105" i="4"/>
  <c r="J98" i="4"/>
  <c r="J93" i="4"/>
  <c r="J85" i="4"/>
  <c r="J19" i="4" l="1"/>
  <c r="J8" i="4" s="1"/>
  <c r="J7" i="4" s="1"/>
  <c r="J115" i="4"/>
  <c r="I115" i="4"/>
  <c r="H115" i="4"/>
  <c r="L115" i="4" s="1"/>
  <c r="F115" i="4"/>
  <c r="E115" i="4"/>
  <c r="D115" i="4"/>
  <c r="C115" i="4"/>
  <c r="G115" i="4" s="1"/>
  <c r="I112" i="4"/>
  <c r="I108" i="4" s="1"/>
  <c r="H112" i="4"/>
  <c r="J108" i="4"/>
  <c r="F108" i="4"/>
  <c r="E108" i="4"/>
  <c r="D108" i="4"/>
  <c r="C108" i="4"/>
  <c r="I105" i="4"/>
  <c r="I101" i="4" s="1"/>
  <c r="H105" i="4"/>
  <c r="J101" i="4"/>
  <c r="F101" i="4"/>
  <c r="E101" i="4"/>
  <c r="D101" i="4"/>
  <c r="D100" i="4" s="1"/>
  <c r="C101" i="4"/>
  <c r="I98" i="4"/>
  <c r="H98" i="4"/>
  <c r="L98" i="4" s="1"/>
  <c r="I96" i="4"/>
  <c r="H96" i="4"/>
  <c r="L96" i="4" s="1"/>
  <c r="F96" i="4"/>
  <c r="J95" i="4"/>
  <c r="E95" i="4"/>
  <c r="D95" i="4"/>
  <c r="C95" i="4"/>
  <c r="I93" i="4"/>
  <c r="H93" i="4"/>
  <c r="I91" i="4"/>
  <c r="H91" i="4"/>
  <c r="J90" i="4"/>
  <c r="E90" i="4"/>
  <c r="D90" i="4"/>
  <c r="D89" i="4" s="1"/>
  <c r="C90" i="4"/>
  <c r="I87" i="4"/>
  <c r="H87" i="4"/>
  <c r="I85" i="4"/>
  <c r="H85" i="4"/>
  <c r="J84" i="4"/>
  <c r="F84" i="4"/>
  <c r="E84" i="4"/>
  <c r="D84" i="4"/>
  <c r="C84" i="4"/>
  <c r="G84" i="4" s="1"/>
  <c r="J81" i="4"/>
  <c r="I81" i="4"/>
  <c r="H81" i="4"/>
  <c r="F81" i="4"/>
  <c r="E81" i="4"/>
  <c r="D81" i="4"/>
  <c r="C81" i="4"/>
  <c r="I78" i="4"/>
  <c r="I76" i="4" s="1"/>
  <c r="H78" i="4"/>
  <c r="F76" i="4"/>
  <c r="E76" i="4"/>
  <c r="D76" i="4"/>
  <c r="C76" i="4"/>
  <c r="G76" i="4" s="1"/>
  <c r="I73" i="4"/>
  <c r="H73" i="4"/>
  <c r="F73" i="4"/>
  <c r="F72" i="4" s="1"/>
  <c r="E73" i="4"/>
  <c r="D73" i="4"/>
  <c r="C73" i="4"/>
  <c r="E72" i="4"/>
  <c r="D72" i="4"/>
  <c r="I70" i="4"/>
  <c r="I66" i="4" s="1"/>
  <c r="H70" i="4"/>
  <c r="F66" i="4"/>
  <c r="F60" i="4" s="1"/>
  <c r="G60" i="4" s="1"/>
  <c r="E66" i="4"/>
  <c r="D66" i="4"/>
  <c r="C66" i="4"/>
  <c r="I64" i="4"/>
  <c r="H64" i="4"/>
  <c r="I62" i="4"/>
  <c r="H62" i="4"/>
  <c r="I53" i="4"/>
  <c r="I49" i="4" s="1"/>
  <c r="H53" i="4"/>
  <c r="F49" i="4"/>
  <c r="F43" i="4" s="1"/>
  <c r="E49" i="4"/>
  <c r="D49" i="4"/>
  <c r="D43" i="4" s="1"/>
  <c r="D42" i="4" s="1"/>
  <c r="C49" i="4"/>
  <c r="I47" i="4"/>
  <c r="H47" i="4"/>
  <c r="I45" i="4"/>
  <c r="H45" i="4"/>
  <c r="I39" i="4"/>
  <c r="H39" i="4"/>
  <c r="F39" i="4"/>
  <c r="E39" i="4"/>
  <c r="D39" i="4"/>
  <c r="C39" i="4"/>
  <c r="I36" i="4"/>
  <c r="H36" i="4"/>
  <c r="F36" i="4"/>
  <c r="E36" i="4"/>
  <c r="D36" i="4"/>
  <c r="C36" i="4"/>
  <c r="G36" i="4" s="1"/>
  <c r="I32" i="4"/>
  <c r="H32" i="4"/>
  <c r="F32" i="4"/>
  <c r="E32" i="4"/>
  <c r="D32" i="4"/>
  <c r="C32" i="4"/>
  <c r="I28" i="4"/>
  <c r="H28" i="4"/>
  <c r="L28" i="4" s="1"/>
  <c r="F28" i="4"/>
  <c r="E28" i="4"/>
  <c r="D28" i="4"/>
  <c r="C28" i="4"/>
  <c r="I25" i="4"/>
  <c r="H25" i="4"/>
  <c r="L25" i="4" s="1"/>
  <c r="F25" i="4"/>
  <c r="E25" i="4"/>
  <c r="D25" i="4"/>
  <c r="C25" i="4"/>
  <c r="I21" i="4"/>
  <c r="H21" i="4"/>
  <c r="I15" i="4"/>
  <c r="H15" i="4"/>
  <c r="L15" i="4" s="1"/>
  <c r="F15" i="4"/>
  <c r="E15" i="4"/>
  <c r="D15" i="4"/>
  <c r="G15" i="4" s="1"/>
  <c r="I12" i="4"/>
  <c r="H12" i="4"/>
  <c r="L12" i="4" s="1"/>
  <c r="F12" i="4"/>
  <c r="E12" i="4"/>
  <c r="D12" i="4"/>
  <c r="C12" i="4"/>
  <c r="G12" i="4" s="1"/>
  <c r="I11" i="4"/>
  <c r="H11" i="4"/>
  <c r="I10" i="4"/>
  <c r="F9" i="4"/>
  <c r="E9" i="4"/>
  <c r="D9" i="4"/>
  <c r="C9" i="4"/>
  <c r="I9" i="4" l="1"/>
  <c r="L10" i="4"/>
  <c r="C20" i="4"/>
  <c r="G25" i="4"/>
  <c r="H31" i="4"/>
  <c r="L32" i="4"/>
  <c r="G39" i="4"/>
  <c r="L47" i="4"/>
  <c r="L62" i="4"/>
  <c r="H66" i="4"/>
  <c r="L66" i="4" s="1"/>
  <c r="L70" i="4"/>
  <c r="L73" i="4"/>
  <c r="G81" i="4"/>
  <c r="G90" i="4"/>
  <c r="G95" i="4"/>
  <c r="G108" i="4"/>
  <c r="C100" i="4"/>
  <c r="G101" i="4"/>
  <c r="H9" i="4"/>
  <c r="L9" i="4" s="1"/>
  <c r="L11" i="4"/>
  <c r="H60" i="4"/>
  <c r="L64" i="4"/>
  <c r="G9" i="4"/>
  <c r="G32" i="4"/>
  <c r="L39" i="4"/>
  <c r="G66" i="4"/>
  <c r="C72" i="4"/>
  <c r="G72" i="4" s="1"/>
  <c r="G73" i="4"/>
  <c r="L81" i="4"/>
  <c r="H84" i="4"/>
  <c r="L84" i="4" s="1"/>
  <c r="L85" i="4"/>
  <c r="L91" i="4"/>
  <c r="F95" i="4"/>
  <c r="F89" i="4" s="1"/>
  <c r="G96" i="4"/>
  <c r="H108" i="4"/>
  <c r="L108" i="4" s="1"/>
  <c r="L112" i="4"/>
  <c r="I31" i="4"/>
  <c r="C43" i="4"/>
  <c r="G49" i="4"/>
  <c r="F20" i="4"/>
  <c r="I84" i="4"/>
  <c r="L21" i="4"/>
  <c r="G28" i="4"/>
  <c r="L36" i="4"/>
  <c r="L45" i="4"/>
  <c r="H49" i="4"/>
  <c r="L49" i="4" s="1"/>
  <c r="L53" i="4"/>
  <c r="H76" i="4"/>
  <c r="L76" i="4" s="1"/>
  <c r="L78" i="4"/>
  <c r="L87" i="4"/>
  <c r="L93" i="4"/>
  <c r="H101" i="4"/>
  <c r="L105" i="4"/>
  <c r="I72" i="4"/>
  <c r="F42" i="4"/>
  <c r="E100" i="4"/>
  <c r="I100" i="4"/>
  <c r="F100" i="4"/>
  <c r="F83" i="4" s="1"/>
  <c r="F80" i="4" s="1"/>
  <c r="D20" i="4"/>
  <c r="D19" i="4" s="1"/>
  <c r="D8" i="4" s="1"/>
  <c r="D7" i="4" s="1"/>
  <c r="D121" i="4" s="1"/>
  <c r="H90" i="4"/>
  <c r="H95" i="4"/>
  <c r="H89" i="4" s="1"/>
  <c r="I90" i="4"/>
  <c r="E89" i="4"/>
  <c r="E83" i="4" s="1"/>
  <c r="E80" i="4" s="1"/>
  <c r="I95" i="4"/>
  <c r="D83" i="4"/>
  <c r="D80" i="4" s="1"/>
  <c r="I20" i="4"/>
  <c r="I19" i="4" s="1"/>
  <c r="I8" i="4" s="1"/>
  <c r="H20" i="4"/>
  <c r="F31" i="4"/>
  <c r="I43" i="4"/>
  <c r="E43" i="4"/>
  <c r="D31" i="4"/>
  <c r="J89" i="4"/>
  <c r="E20" i="4"/>
  <c r="E31" i="4"/>
  <c r="I60" i="4"/>
  <c r="J100" i="4"/>
  <c r="J83" i="4" s="1"/>
  <c r="J80" i="4" s="1"/>
  <c r="J121" i="4" s="1"/>
  <c r="H72" i="4"/>
  <c r="L72" i="4" s="1"/>
  <c r="C31" i="4"/>
  <c r="C89" i="4"/>
  <c r="L31" i="4" l="1"/>
  <c r="C42" i="4"/>
  <c r="G43" i="4"/>
  <c r="L95" i="4"/>
  <c r="H19" i="4"/>
  <c r="L20" i="4"/>
  <c r="H43" i="4"/>
  <c r="H100" i="4"/>
  <c r="L100" i="4" s="1"/>
  <c r="L101" i="4"/>
  <c r="G89" i="4"/>
  <c r="G20" i="4"/>
  <c r="L90" i="4"/>
  <c r="F19" i="4"/>
  <c r="F8" i="4" s="1"/>
  <c r="F7" i="4" s="1"/>
  <c r="F121" i="4" s="1"/>
  <c r="L60" i="4"/>
  <c r="G31" i="4"/>
  <c r="G100" i="4"/>
  <c r="I42" i="4"/>
  <c r="I89" i="4"/>
  <c r="I83" i="4" s="1"/>
  <c r="I80" i="4" s="1"/>
  <c r="E19" i="4"/>
  <c r="E8" i="4" s="1"/>
  <c r="I7" i="4"/>
  <c r="E42" i="4"/>
  <c r="C19" i="4"/>
  <c r="C83" i="4"/>
  <c r="G83" i="4" s="1"/>
  <c r="H8" i="4" l="1"/>
  <c r="L19" i="4"/>
  <c r="G42" i="4"/>
  <c r="C8" i="4"/>
  <c r="G8" i="4" s="1"/>
  <c r="G19" i="4"/>
  <c r="L89" i="4"/>
  <c r="H42" i="4"/>
  <c r="L42" i="4" s="1"/>
  <c r="L43" i="4"/>
  <c r="H83" i="4"/>
  <c r="I121" i="4"/>
  <c r="E7" i="4"/>
  <c r="C80" i="4"/>
  <c r="G80" i="4" s="1"/>
  <c r="C7" i="4" l="1"/>
  <c r="G7" i="4" s="1"/>
  <c r="H80" i="4"/>
  <c r="L80" i="4" s="1"/>
  <c r="L83" i="4"/>
  <c r="L8" i="4"/>
  <c r="H7" i="4"/>
  <c r="E121" i="4"/>
  <c r="C121" i="4"/>
  <c r="G121" i="4" s="1"/>
  <c r="H121" i="4" l="1"/>
  <c r="L121" i="4" s="1"/>
  <c r="L7" i="4"/>
</calcChain>
</file>

<file path=xl/sharedStrings.xml><?xml version="1.0" encoding="utf-8"?>
<sst xmlns="http://schemas.openxmlformats.org/spreadsheetml/2006/main" count="147" uniqueCount="89">
  <si>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</si>
  <si>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</si>
  <si>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</si>
  <si>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</si>
  <si>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</si>
  <si>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</si>
  <si>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</si>
  <si>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</si>
  <si>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</si>
  <si>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</si>
  <si>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</si>
  <si>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</si>
  <si>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</si>
  <si>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</si>
  <si>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</si>
  <si>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</si>
  <si>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</si>
  <si>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</si>
  <si>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</si>
  <si>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</si>
  <si>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</si>
  <si>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</si>
  <si>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</si>
  <si>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</si>
  <si>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</si>
  <si>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</si>
  <si>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</si>
  <si>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</si>
  <si>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</si>
  <si>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</si>
  <si>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</si>
  <si>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</si>
  <si>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</si>
  <si>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</si>
  <si>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</si>
  <si>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</si>
  <si>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</si>
  <si>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</si>
  <si>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</si>
  <si>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</si>
  <si>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</si>
  <si>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</si>
  <si>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</si>
  <si>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</si>
  <si>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</si>
  <si>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</si>
  <si>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</si>
  <si>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</si>
  <si>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</si>
  <si>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</si>
  <si>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</si>
  <si>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</si>
  <si>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</si>
  <si>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</si>
  <si>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</si>
  <si>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</si>
  <si>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</si>
  <si>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</si>
  <si>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</si>
  <si>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</si>
  <si>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</si>
  <si>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</si>
  <si>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</si>
  <si>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</si>
  <si>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</si>
  <si>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</si>
  <si>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</si>
  <si>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</si>
  <si>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</si>
  <si>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</si>
  <si>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</si>
  <si>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</si>
  <si>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</si>
  <si>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</si>
  <si>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</si>
  <si>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</si>
  <si>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</si>
  <si>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</si>
  <si>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</si>
  <si>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</si>
  <si>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</si>
  <si>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</si>
  <si>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t xml:space="preserve">2013 </t>
    </r>
    <r>
      <rPr>
        <b/>
        <vertAlign val="superscript"/>
        <sz val="18"/>
        <rFont val="Times New Roman"/>
        <family val="1"/>
      </rPr>
      <t>1</t>
    </r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</si>
  <si>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</si>
  <si>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t xml:space="preserve">4th 
Quarter </t>
  </si>
  <si>
    <r>
      <t>2014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</si>
  <si>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1</t>
    </r>
  </si>
  <si>
    <r>
      <t xml:space="preserve">1 </t>
    </r>
    <r>
      <rPr>
        <i/>
        <sz val="16"/>
        <rFont val="Times New Roman"/>
        <family val="1"/>
      </rPr>
      <t>Provisional</t>
    </r>
  </si>
  <si>
    <t>Table 51: Balance of Payments - 2013 and 2014: Annual and Quarterly (Provisional)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</si>
</sst>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0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1" fillId="0" borderId="0" xfId="0" applyFont="1"/>
    <xf numFmtId="0" fontId="8" fillId="2" borderId="7" xfId="2" applyFont="1" applyFill="1" applyBorder="1"/>
    <xf numFmtId="0" fontId="9" fillId="2" borderId="8" xfId="2" applyFont="1" applyFill="1" applyBorder="1" applyAlignment="1">
      <alignment horizontal="center" vertical="top" wrapText="1"/>
    </xf>
    <xf numFmtId="3" fontId="6" fillId="0" borderId="9" xfId="2" applyNumberFormat="1" applyFont="1" applyFill="1" applyBorder="1" applyAlignment="1"/>
    <xf numFmtId="0" fontId="9" fillId="0" borderId="0" xfId="0" applyFont="1"/>
    <xf numFmtId="0" fontId="12" fillId="2" borderId="8" xfId="2" applyFont="1" applyFill="1" applyBorder="1"/>
    <xf numFmtId="3" fontId="6" fillId="0" borderId="11" xfId="0" applyNumberFormat="1" applyFont="1" applyBorder="1"/>
    <xf numFmtId="0" fontId="12" fillId="0" borderId="0" xfId="0" applyFont="1"/>
    <xf numFmtId="0" fontId="9" fillId="2" borderId="8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7" xfId="2" applyFont="1" applyFill="1" applyBorder="1"/>
    <xf numFmtId="3" fontId="6" fillId="0" borderId="11" xfId="0" applyNumberFormat="1" applyFont="1" applyFill="1" applyBorder="1"/>
    <xf numFmtId="0" fontId="15" fillId="2" borderId="7" xfId="2" applyFont="1" applyFill="1" applyBorder="1"/>
    <xf numFmtId="0" fontId="5" fillId="2" borderId="8" xfId="2" applyFont="1" applyFill="1" applyBorder="1"/>
    <xf numFmtId="3" fontId="7" fillId="0" borderId="11" xfId="2" applyNumberFormat="1" applyFont="1" applyFill="1" applyBorder="1" applyAlignment="1"/>
    <xf numFmtId="0" fontId="5" fillId="0" borderId="0" xfId="0" applyFont="1"/>
    <xf numFmtId="3" fontId="7" fillId="0" borderId="11" xfId="0" applyNumberFormat="1" applyFont="1" applyFill="1" applyBorder="1"/>
    <xf numFmtId="0" fontId="4" fillId="2" borderId="7" xfId="2" applyFont="1" applyFill="1" applyBorder="1"/>
    <xf numFmtId="3" fontId="13" fillId="0" borderId="11" xfId="1" applyNumberFormat="1" applyFont="1" applyFill="1" applyBorder="1"/>
    <xf numFmtId="1" fontId="16" fillId="0" borderId="0" xfId="0" applyNumberFormat="1" applyFont="1"/>
    <xf numFmtId="0" fontId="13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15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3" fillId="0" borderId="9" xfId="0" applyNumberFormat="1" applyFont="1" applyBorder="1"/>
    <xf numFmtId="0" fontId="8" fillId="2" borderId="10" xfId="2" applyFont="1" applyFill="1" applyBorder="1"/>
    <xf numFmtId="3" fontId="13" fillId="0" borderId="11" xfId="0" applyNumberFormat="1" applyFont="1" applyBorder="1"/>
    <xf numFmtId="0" fontId="4" fillId="2" borderId="10" xfId="2" applyFont="1" applyFill="1" applyBorder="1"/>
    <xf numFmtId="3" fontId="6" fillId="0" borderId="11" xfId="2" applyNumberFormat="1" applyFont="1" applyBorder="1" applyAlignment="1"/>
    <xf numFmtId="0" fontId="13" fillId="0" borderId="11" xfId="0" applyFont="1" applyBorder="1"/>
    <xf numFmtId="0" fontId="8" fillId="2" borderId="12" xfId="2" applyFont="1" applyFill="1" applyBorder="1"/>
    <xf numFmtId="0" fontId="12" fillId="2" borderId="13" xfId="2" applyFont="1" applyFill="1" applyBorder="1"/>
    <xf numFmtId="0" fontId="13" fillId="0" borderId="16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0" fontId="18" fillId="0" borderId="0" xfId="2" applyFont="1"/>
    <xf numFmtId="0" fontId="19" fillId="0" borderId="0" xfId="2" applyFont="1" applyAlignment="1">
      <alignment horizontal="right"/>
    </xf>
    <xf numFmtId="164" fontId="11" fillId="0" borderId="0" xfId="0" applyNumberFormat="1" applyFont="1"/>
    <xf numFmtId="0" fontId="19" fillId="0" borderId="0" xfId="0" applyFont="1"/>
    <xf numFmtId="164" fontId="3" fillId="0" borderId="0" xfId="0" applyNumberFormat="1" applyFont="1"/>
    <xf numFmtId="0" fontId="14" fillId="0" borderId="0" xfId="0" applyFont="1"/>
    <xf numFmtId="165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6" fillId="0" borderId="11" xfId="2" applyNumberFormat="1" applyFont="1" applyFill="1" applyBorder="1" applyAlignment="1"/>
    <xf numFmtId="0" fontId="4" fillId="2" borderId="12" xfId="2" applyFont="1" applyFill="1" applyBorder="1"/>
    <xf numFmtId="0" fontId="5" fillId="2" borderId="13" xfId="2" applyFont="1" applyFill="1" applyBorder="1"/>
    <xf numFmtId="3" fontId="7" fillId="0" borderId="16" xfId="0" applyNumberFormat="1" applyFont="1" applyFill="1" applyBorder="1"/>
    <xf numFmtId="3" fontId="7" fillId="0" borderId="11" xfId="0" applyNumberFormat="1" applyFont="1" applyBorder="1"/>
    <xf numFmtId="0" fontId="9" fillId="0" borderId="11" xfId="0" applyFont="1" applyBorder="1"/>
    <xf numFmtId="164" fontId="9" fillId="0" borderId="9" xfId="0" applyNumberFormat="1" applyFont="1" applyBorder="1"/>
    <xf numFmtId="0" fontId="6" fillId="2" borderId="11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9" fillId="0" borderId="9" xfId="0" applyFont="1" applyBorder="1"/>
    <xf numFmtId="3" fontId="13" fillId="0" borderId="11" xfId="2" applyNumberFormat="1" applyFont="1" applyBorder="1" applyAlignment="1"/>
    <xf numFmtId="3" fontId="7" fillId="0" borderId="11" xfId="2" applyNumberFormat="1" applyFont="1" applyBorder="1" applyAlignment="1"/>
    <xf numFmtId="3" fontId="3" fillId="0" borderId="0" xfId="0" applyNumberFormat="1" applyFont="1"/>
    <xf numFmtId="3" fontId="11" fillId="0" borderId="0" xfId="0" applyNumberFormat="1" applyFont="1"/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9" fillId="0" borderId="17" xfId="0" applyFont="1" applyFill="1" applyBorder="1"/>
    <xf numFmtId="3" fontId="20" fillId="0" borderId="16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2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8" fillId="2" borderId="1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6" fillId="2" borderId="2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Balance%20of%20Payments/BOPs/Capital%20&amp;%20Fin%20Account/Compilation%20of%20Capital%20and%20Financial/Q42014/Scaling%20Factor%20GBC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actor"/>
    </sheetNames>
    <sheetDataSet>
      <sheetData sheetId="0">
        <row r="25">
          <cell r="I25">
            <v>188999.88376805052</v>
          </cell>
        </row>
        <row r="27">
          <cell r="I27">
            <v>3204.7222179534615</v>
          </cell>
        </row>
        <row r="28">
          <cell r="I28">
            <v>11793.77750199657</v>
          </cell>
        </row>
        <row r="29">
          <cell r="I29">
            <v>-43748.227392035813</v>
          </cell>
        </row>
        <row r="37">
          <cell r="I37">
            <v>-152719.28726674465</v>
          </cell>
        </row>
        <row r="39">
          <cell r="I39">
            <v>10035.866351588615</v>
          </cell>
        </row>
        <row r="40">
          <cell r="I40">
            <v>-15964.448923895905</v>
          </cell>
        </row>
        <row r="41">
          <cell r="I41">
            <v>-8353.1223683901153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zoomScale="64" zoomScaleNormal="64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7" sqref="N7"/>
    </sheetView>
  </sheetViews>
  <sheetFormatPr defaultRowHeight="19.5" x14ac:dyDescent="0.3"/>
  <cols>
    <col min="1" max="1" width="4.85546875" style="48" customWidth="1"/>
    <col min="2" max="2" width="56.5703125" style="9" customWidth="1"/>
    <col min="3" max="3" width="18.85546875" style="1" customWidth="1"/>
    <col min="4" max="4" width="17.5703125" style="47" customWidth="1"/>
    <col min="5" max="7" width="17.5703125" style="1" customWidth="1"/>
    <col min="8" max="8" width="16.28515625" style="1" bestFit="1" customWidth="1"/>
    <col min="9" max="9" width="18" style="1" customWidth="1"/>
    <col min="10" max="10" width="18.140625" style="1" customWidth="1"/>
    <col min="11" max="11" width="20" style="1" customWidth="1"/>
    <col min="12" max="12" width="16.28515625" style="1" bestFit="1" customWidth="1"/>
    <col min="13" max="13" width="15" style="1" bestFit="1" customWidth="1"/>
    <col min="14" max="16384" width="9.140625" style="1"/>
  </cols>
  <sheetData>
    <row r="1" spans="1:12" ht="31.5" customHeight="1" x14ac:dyDescent="0.2">
      <c r="A1" s="73" t="s">
        <v>88</v>
      </c>
      <c r="B1" s="73"/>
      <c r="C1" s="73"/>
      <c r="D1" s="73"/>
      <c r="E1" s="73"/>
      <c r="F1" s="73"/>
      <c r="G1" s="73"/>
      <c r="H1" s="73"/>
      <c r="I1" s="74"/>
    </row>
    <row r="2" spans="1:12" ht="30.75" customHeight="1" x14ac:dyDescent="0.2">
      <c r="A2" s="73"/>
      <c r="B2" s="73"/>
      <c r="C2" s="73"/>
      <c r="D2" s="73"/>
      <c r="E2" s="73"/>
      <c r="F2" s="73"/>
      <c r="G2" s="73"/>
      <c r="H2" s="73"/>
      <c r="I2" s="74"/>
    </row>
    <row r="3" spans="1:12" ht="51" customHeight="1" thickBot="1" x14ac:dyDescent="0.4">
      <c r="A3" s="2"/>
      <c r="B3" s="3"/>
      <c r="C3" s="4"/>
      <c r="D3" s="4"/>
      <c r="E3" s="4"/>
      <c r="F3" s="4"/>
      <c r="G3" s="72"/>
      <c r="L3" s="4" t="s">
        <v>81</v>
      </c>
    </row>
    <row r="4" spans="1:12" s="5" customFormat="1" ht="45.75" customHeight="1" thickBot="1" x14ac:dyDescent="0.35">
      <c r="A4" s="75"/>
      <c r="B4" s="77"/>
      <c r="C4" s="79" t="s">
        <v>82</v>
      </c>
      <c r="D4" s="79"/>
      <c r="E4" s="79"/>
      <c r="F4" s="79"/>
      <c r="G4" s="80">
        <v>2013</v>
      </c>
      <c r="H4" s="82" t="s">
        <v>85</v>
      </c>
      <c r="I4" s="83"/>
      <c r="J4" s="83"/>
      <c r="K4" s="83"/>
      <c r="L4" s="80" t="s">
        <v>86</v>
      </c>
    </row>
    <row r="5" spans="1:12" s="5" customFormat="1" ht="79.5" customHeight="1" x14ac:dyDescent="0.3">
      <c r="A5" s="76"/>
      <c r="B5" s="78"/>
      <c r="C5" s="68" t="s">
        <v>0</v>
      </c>
      <c r="D5" s="68" t="s">
        <v>1</v>
      </c>
      <c r="E5" s="68" t="s">
        <v>2</v>
      </c>
      <c r="F5" s="68" t="s">
        <v>3</v>
      </c>
      <c r="G5" s="81"/>
      <c r="H5" s="68" t="s">
        <v>0</v>
      </c>
      <c r="I5" s="68" t="s">
        <v>1</v>
      </c>
      <c r="J5" s="69" t="s">
        <v>2</v>
      </c>
      <c r="K5" s="67" t="s">
        <v>84</v>
      </c>
      <c r="L5" s="81"/>
    </row>
    <row r="6" spans="1:12" s="9" customFormat="1" ht="13.5" customHeight="1" x14ac:dyDescent="0.3">
      <c r="A6" s="6"/>
      <c r="B6" s="7"/>
      <c r="C6" s="58"/>
      <c r="D6" s="59"/>
      <c r="E6" s="58"/>
      <c r="F6" s="58"/>
      <c r="G6" s="8"/>
      <c r="H6" s="58"/>
      <c r="I6" s="62"/>
      <c r="J6" s="62"/>
      <c r="K6" s="62"/>
      <c r="L6" s="62"/>
    </row>
    <row r="7" spans="1:12" s="12" customFormat="1" ht="27.75" customHeight="1" x14ac:dyDescent="0.3">
      <c r="A7" s="6" t="s">
        <v>4</v>
      </c>
      <c r="B7" s="10" t="s">
        <v>5</v>
      </c>
      <c r="C7" s="11">
        <f t="shared" ref="C7:F7" si="0">C8+C42+C72</f>
        <v>-7275.0829999999987</v>
      </c>
      <c r="D7" s="11">
        <f t="shared" si="0"/>
        <v>-7553</v>
      </c>
      <c r="E7" s="11">
        <f t="shared" si="0"/>
        <v>-12095</v>
      </c>
      <c r="F7" s="11">
        <f t="shared" si="0"/>
        <v>-9311</v>
      </c>
      <c r="G7" s="11">
        <f>C7+D7+E7+F7</f>
        <v>-36234.082999999999</v>
      </c>
      <c r="H7" s="11">
        <f>H8+H42+H72</f>
        <v>-6290</v>
      </c>
      <c r="I7" s="11">
        <f>I8+I42+I72</f>
        <v>-8976.2000000000007</v>
      </c>
      <c r="J7" s="11">
        <f>J8+J42+J72</f>
        <v>-11553</v>
      </c>
      <c r="K7" s="11">
        <f>K8+K42+K72</f>
        <v>-12806</v>
      </c>
      <c r="L7" s="11">
        <f>H7+I7+J7+K7</f>
        <v>-39625.199999999997</v>
      </c>
    </row>
    <row r="8" spans="1:12" s="12" customFormat="1" ht="27.75" customHeight="1" x14ac:dyDescent="0.3">
      <c r="A8" s="6" t="s">
        <v>6</v>
      </c>
      <c r="B8" s="10" t="s">
        <v>7</v>
      </c>
      <c r="C8" s="11">
        <f t="shared" ref="C8:H8" si="1">C9+C19</f>
        <v>-9483</v>
      </c>
      <c r="D8" s="11">
        <f t="shared" si="1"/>
        <v>-8342</v>
      </c>
      <c r="E8" s="11">
        <f t="shared" si="1"/>
        <v>-15681</v>
      </c>
      <c r="F8" s="11">
        <f t="shared" si="1"/>
        <v>-14638</v>
      </c>
      <c r="G8" s="11">
        <f t="shared" ref="G8:G54" si="2">C8+D8+E8+F8</f>
        <v>-48144</v>
      </c>
      <c r="H8" s="11">
        <f t="shared" si="1"/>
        <v>-8977</v>
      </c>
      <c r="I8" s="11">
        <f>I9+I19</f>
        <v>-6547</v>
      </c>
      <c r="J8" s="11">
        <f>J9+J19</f>
        <v>-12016</v>
      </c>
      <c r="K8" s="11">
        <f>K9+K19</f>
        <v>-12605</v>
      </c>
      <c r="L8" s="11">
        <f t="shared" ref="L8:L54" si="3">H8+I8+J8+K8</f>
        <v>-40145</v>
      </c>
    </row>
    <row r="9" spans="1:12" s="12" customFormat="1" ht="27.75" customHeight="1" x14ac:dyDescent="0.3">
      <c r="A9" s="6"/>
      <c r="B9" s="10" t="s">
        <v>8</v>
      </c>
      <c r="C9" s="11">
        <f t="shared" ref="C9:F9" si="4">C10+C11</f>
        <v>-15610</v>
      </c>
      <c r="D9" s="11">
        <f t="shared" si="4"/>
        <v>-15049</v>
      </c>
      <c r="E9" s="11">
        <f t="shared" si="4"/>
        <v>-17606</v>
      </c>
      <c r="F9" s="11">
        <f t="shared" si="4"/>
        <v>-21360</v>
      </c>
      <c r="G9" s="11">
        <f t="shared" si="2"/>
        <v>-69625</v>
      </c>
      <c r="H9" s="11">
        <f>H10+H11</f>
        <v>-13571</v>
      </c>
      <c r="I9" s="11">
        <f>I10+I11</f>
        <v>-15458</v>
      </c>
      <c r="J9" s="11">
        <f>J10+J11</f>
        <v>-18251</v>
      </c>
      <c r="K9" s="11">
        <f>K10+K11</f>
        <v>-21685</v>
      </c>
      <c r="L9" s="11">
        <f t="shared" si="3"/>
        <v>-68965</v>
      </c>
    </row>
    <row r="10" spans="1:12" s="9" customFormat="1" ht="27.75" customHeight="1" x14ac:dyDescent="0.35">
      <c r="A10" s="6"/>
      <c r="B10" s="13" t="s">
        <v>9</v>
      </c>
      <c r="C10" s="14">
        <f>C13+C16</f>
        <v>20307</v>
      </c>
      <c r="D10" s="14">
        <f t="shared" ref="D10:F10" si="5">D13+D16</f>
        <v>21668</v>
      </c>
      <c r="E10" s="14">
        <f t="shared" si="5"/>
        <v>22408</v>
      </c>
      <c r="F10" s="14">
        <f t="shared" si="5"/>
        <v>23665</v>
      </c>
      <c r="G10" s="14">
        <f t="shared" si="2"/>
        <v>88048</v>
      </c>
      <c r="H10" s="14">
        <f t="shared" ref="H10:J11" si="6">H13+H16</f>
        <v>20467</v>
      </c>
      <c r="I10" s="14">
        <f t="shared" si="6"/>
        <v>24552</v>
      </c>
      <c r="J10" s="14">
        <f t="shared" si="6"/>
        <v>25422</v>
      </c>
      <c r="K10" s="14">
        <f t="shared" ref="K10" si="7">K13+K16</f>
        <v>24750</v>
      </c>
      <c r="L10" s="14">
        <f t="shared" si="3"/>
        <v>95191</v>
      </c>
    </row>
    <row r="11" spans="1:12" s="9" customFormat="1" ht="27.75" customHeight="1" x14ac:dyDescent="0.35">
      <c r="A11" s="6"/>
      <c r="B11" s="13" t="s">
        <v>10</v>
      </c>
      <c r="C11" s="15">
        <f>C14+C17</f>
        <v>-35917</v>
      </c>
      <c r="D11" s="15">
        <f t="shared" ref="D11:F11" si="8">D14+D17</f>
        <v>-36717</v>
      </c>
      <c r="E11" s="15">
        <f t="shared" si="8"/>
        <v>-40014</v>
      </c>
      <c r="F11" s="15">
        <f t="shared" si="8"/>
        <v>-45025</v>
      </c>
      <c r="G11" s="15">
        <f t="shared" si="2"/>
        <v>-157673</v>
      </c>
      <c r="H11" s="15">
        <f t="shared" si="6"/>
        <v>-34038</v>
      </c>
      <c r="I11" s="15">
        <f t="shared" si="6"/>
        <v>-40010</v>
      </c>
      <c r="J11" s="15">
        <f t="shared" si="6"/>
        <v>-43673</v>
      </c>
      <c r="K11" s="15">
        <f t="shared" ref="K11" si="9">K14+K17</f>
        <v>-46435</v>
      </c>
      <c r="L11" s="15">
        <f t="shared" si="3"/>
        <v>-164156</v>
      </c>
    </row>
    <row r="12" spans="1:12" s="9" customFormat="1" ht="27.75" customHeight="1" x14ac:dyDescent="0.35">
      <c r="A12" s="6"/>
      <c r="B12" s="13" t="s">
        <v>11</v>
      </c>
      <c r="C12" s="14">
        <f t="shared" ref="C12:H12" si="10">C13+C14</f>
        <v>-18733</v>
      </c>
      <c r="D12" s="14">
        <f t="shared" si="10"/>
        <v>-18537</v>
      </c>
      <c r="E12" s="14">
        <f t="shared" si="10"/>
        <v>-20700</v>
      </c>
      <c r="F12" s="14">
        <f t="shared" si="10"/>
        <v>-24695</v>
      </c>
      <c r="G12" s="14">
        <f t="shared" si="2"/>
        <v>-82665</v>
      </c>
      <c r="H12" s="14">
        <f t="shared" si="10"/>
        <v>-16058</v>
      </c>
      <c r="I12" s="14">
        <f>I13+I14</f>
        <v>-18217</v>
      </c>
      <c r="J12" s="14">
        <f>J13+J14</f>
        <v>-20694</v>
      </c>
      <c r="K12" s="14">
        <f>K13+K14</f>
        <v>-24431</v>
      </c>
      <c r="L12" s="14">
        <f t="shared" si="3"/>
        <v>-79400</v>
      </c>
    </row>
    <row r="13" spans="1:12" s="9" customFormat="1" ht="27.75" customHeight="1" x14ac:dyDescent="0.35">
      <c r="A13" s="6"/>
      <c r="B13" s="13" t="s">
        <v>12</v>
      </c>
      <c r="C13" s="14">
        <v>16437</v>
      </c>
      <c r="D13" s="14">
        <v>17475</v>
      </c>
      <c r="E13" s="14">
        <v>18449</v>
      </c>
      <c r="F13" s="14">
        <v>19506</v>
      </c>
      <c r="G13" s="14">
        <f t="shared" si="2"/>
        <v>71867</v>
      </c>
      <c r="H13" s="14">
        <v>17217</v>
      </c>
      <c r="I13" s="14">
        <v>21027</v>
      </c>
      <c r="J13" s="14">
        <v>22092</v>
      </c>
      <c r="K13" s="14">
        <v>21255</v>
      </c>
      <c r="L13" s="14">
        <f t="shared" si="3"/>
        <v>81591</v>
      </c>
    </row>
    <row r="14" spans="1:12" s="9" customFormat="1" ht="27.75" customHeight="1" x14ac:dyDescent="0.35">
      <c r="A14" s="6"/>
      <c r="B14" s="13" t="s">
        <v>13</v>
      </c>
      <c r="C14" s="14">
        <v>-35170</v>
      </c>
      <c r="D14" s="14">
        <v>-36012</v>
      </c>
      <c r="E14" s="14">
        <v>-39149</v>
      </c>
      <c r="F14" s="14">
        <v>-44201</v>
      </c>
      <c r="G14" s="14">
        <f t="shared" si="2"/>
        <v>-154532</v>
      </c>
      <c r="H14" s="14">
        <v>-33275</v>
      </c>
      <c r="I14" s="14">
        <v>-39244</v>
      </c>
      <c r="J14" s="14">
        <v>-42786</v>
      </c>
      <c r="K14" s="14">
        <v>-45686</v>
      </c>
      <c r="L14" s="14">
        <f t="shared" si="3"/>
        <v>-160991</v>
      </c>
    </row>
    <row r="15" spans="1:12" s="9" customFormat="1" ht="27.75" customHeight="1" x14ac:dyDescent="0.35">
      <c r="A15" s="16"/>
      <c r="B15" s="13" t="s">
        <v>14</v>
      </c>
      <c r="C15" s="15">
        <f>C16+C17</f>
        <v>3123</v>
      </c>
      <c r="D15" s="15">
        <f t="shared" ref="D15:F15" si="11">D16+D17</f>
        <v>3488</v>
      </c>
      <c r="E15" s="15">
        <f t="shared" si="11"/>
        <v>3094</v>
      </c>
      <c r="F15" s="15">
        <f t="shared" si="11"/>
        <v>3335</v>
      </c>
      <c r="G15" s="15">
        <f t="shared" si="2"/>
        <v>13040</v>
      </c>
      <c r="H15" s="15">
        <f>H16+H17</f>
        <v>2487</v>
      </c>
      <c r="I15" s="15">
        <f>I16+I17</f>
        <v>2759</v>
      </c>
      <c r="J15" s="15">
        <f>J16+J17</f>
        <v>2443</v>
      </c>
      <c r="K15" s="15">
        <f>K16+K17</f>
        <v>2746</v>
      </c>
      <c r="L15" s="15">
        <f t="shared" si="3"/>
        <v>10435</v>
      </c>
    </row>
    <row r="16" spans="1:12" s="9" customFormat="1" ht="27.75" customHeight="1" x14ac:dyDescent="0.35">
      <c r="A16" s="6"/>
      <c r="B16" s="13" t="s">
        <v>12</v>
      </c>
      <c r="C16" s="14">
        <v>3870</v>
      </c>
      <c r="D16" s="14">
        <v>4193</v>
      </c>
      <c r="E16" s="14">
        <v>3959</v>
      </c>
      <c r="F16" s="14">
        <v>4159</v>
      </c>
      <c r="G16" s="14">
        <f t="shared" si="2"/>
        <v>16181</v>
      </c>
      <c r="H16" s="14">
        <v>3250</v>
      </c>
      <c r="I16" s="14">
        <v>3525</v>
      </c>
      <c r="J16" s="14">
        <v>3330</v>
      </c>
      <c r="K16" s="14">
        <v>3495</v>
      </c>
      <c r="L16" s="14">
        <f t="shared" si="3"/>
        <v>13600</v>
      </c>
    </row>
    <row r="17" spans="1:12" s="9" customFormat="1" ht="27.75" customHeight="1" x14ac:dyDescent="0.35">
      <c r="A17" s="6"/>
      <c r="B17" s="13" t="s">
        <v>13</v>
      </c>
      <c r="C17" s="15">
        <v>-747</v>
      </c>
      <c r="D17" s="15">
        <v>-705</v>
      </c>
      <c r="E17" s="15">
        <v>-865</v>
      </c>
      <c r="F17" s="15">
        <v>-824</v>
      </c>
      <c r="G17" s="15">
        <f t="shared" si="2"/>
        <v>-3141</v>
      </c>
      <c r="H17" s="15">
        <v>-763</v>
      </c>
      <c r="I17" s="15">
        <v>-766</v>
      </c>
      <c r="J17" s="15">
        <v>-887</v>
      </c>
      <c r="K17" s="15">
        <v>-749</v>
      </c>
      <c r="L17" s="15">
        <f t="shared" si="3"/>
        <v>-3165</v>
      </c>
    </row>
    <row r="18" spans="1:12" s="9" customFormat="1" ht="27.75" customHeight="1" x14ac:dyDescent="0.35">
      <c r="A18" s="6"/>
      <c r="B18" s="13" t="s">
        <v>15</v>
      </c>
      <c r="C18" s="14">
        <v>-136</v>
      </c>
      <c r="D18" s="14">
        <v>-124</v>
      </c>
      <c r="E18" s="14">
        <v>-208</v>
      </c>
      <c r="F18" s="14">
        <v>-201</v>
      </c>
      <c r="G18" s="14">
        <f t="shared" si="2"/>
        <v>-669</v>
      </c>
      <c r="H18" s="14">
        <v>-152</v>
      </c>
      <c r="I18" s="14">
        <v>-222</v>
      </c>
      <c r="J18" s="14">
        <v>-186</v>
      </c>
      <c r="K18" s="14">
        <v>-152</v>
      </c>
      <c r="L18" s="14">
        <f t="shared" si="3"/>
        <v>-712</v>
      </c>
    </row>
    <row r="19" spans="1:12" s="12" customFormat="1" ht="27.75" customHeight="1" x14ac:dyDescent="0.3">
      <c r="A19" s="6"/>
      <c r="B19" s="10" t="s">
        <v>16</v>
      </c>
      <c r="C19" s="17">
        <f t="shared" ref="C19:H19" si="12">C20+C31</f>
        <v>6127</v>
      </c>
      <c r="D19" s="17">
        <f t="shared" si="12"/>
        <v>6707</v>
      </c>
      <c r="E19" s="17">
        <f t="shared" si="12"/>
        <v>1925</v>
      </c>
      <c r="F19" s="17">
        <f t="shared" si="12"/>
        <v>6722</v>
      </c>
      <c r="G19" s="17">
        <f t="shared" si="2"/>
        <v>21481</v>
      </c>
      <c r="H19" s="17">
        <f t="shared" si="12"/>
        <v>4594</v>
      </c>
      <c r="I19" s="17">
        <f>I20+I31</f>
        <v>8911</v>
      </c>
      <c r="J19" s="17">
        <f>J20+J31</f>
        <v>6235</v>
      </c>
      <c r="K19" s="17">
        <f>K20+K31</f>
        <v>9080</v>
      </c>
      <c r="L19" s="17">
        <f t="shared" si="3"/>
        <v>28820</v>
      </c>
    </row>
    <row r="20" spans="1:12" s="9" customFormat="1" ht="27.75" customHeight="1" x14ac:dyDescent="0.35">
      <c r="A20" s="6"/>
      <c r="B20" s="13" t="s">
        <v>17</v>
      </c>
      <c r="C20" s="15">
        <f t="shared" ref="C20:H20" si="13">C21+C25+C28</f>
        <v>26150</v>
      </c>
      <c r="D20" s="15">
        <f t="shared" si="13"/>
        <v>27880</v>
      </c>
      <c r="E20" s="15">
        <f t="shared" si="13"/>
        <v>22390</v>
      </c>
      <c r="F20" s="15">
        <f t="shared" si="13"/>
        <v>28226</v>
      </c>
      <c r="G20" s="15">
        <f t="shared" si="2"/>
        <v>104646</v>
      </c>
      <c r="H20" s="15">
        <f t="shared" si="13"/>
        <v>23356</v>
      </c>
      <c r="I20" s="15">
        <f>I21+I25+I28</f>
        <v>26703</v>
      </c>
      <c r="J20" s="15">
        <f>J21+J25+J28</f>
        <v>26419</v>
      </c>
      <c r="K20" s="15">
        <f>K21+K25+K28</f>
        <v>29221</v>
      </c>
      <c r="L20" s="15">
        <f t="shared" si="3"/>
        <v>105699</v>
      </c>
    </row>
    <row r="21" spans="1:12" s="9" customFormat="1" ht="27.75" customHeight="1" x14ac:dyDescent="0.35">
      <c r="A21" s="6"/>
      <c r="B21" s="13" t="s">
        <v>18</v>
      </c>
      <c r="C21" s="14">
        <v>2855</v>
      </c>
      <c r="D21" s="14">
        <v>2339</v>
      </c>
      <c r="E21" s="14">
        <v>2652</v>
      </c>
      <c r="F21" s="14">
        <v>3172</v>
      </c>
      <c r="G21" s="14">
        <f t="shared" si="2"/>
        <v>11018</v>
      </c>
      <c r="H21" s="14">
        <f>H22+H23+H24</f>
        <v>2991</v>
      </c>
      <c r="I21" s="14">
        <f>I22+I23+I24</f>
        <v>2384</v>
      </c>
      <c r="J21" s="14">
        <f>J22+J23+J24</f>
        <v>2749</v>
      </c>
      <c r="K21" s="14">
        <f>K22+K23+K24</f>
        <v>3005</v>
      </c>
      <c r="L21" s="14">
        <f t="shared" si="3"/>
        <v>11129</v>
      </c>
    </row>
    <row r="22" spans="1:12" s="21" customFormat="1" ht="27.75" customHeight="1" x14ac:dyDescent="0.35">
      <c r="A22" s="18"/>
      <c r="B22" s="19" t="s">
        <v>19</v>
      </c>
      <c r="C22" s="20">
        <v>2177</v>
      </c>
      <c r="D22" s="20">
        <v>1602</v>
      </c>
      <c r="E22" s="20">
        <v>2084</v>
      </c>
      <c r="F22" s="20">
        <v>2513</v>
      </c>
      <c r="G22" s="20">
        <f t="shared" si="2"/>
        <v>8376</v>
      </c>
      <c r="H22" s="20">
        <v>2280</v>
      </c>
      <c r="I22" s="20">
        <v>1711</v>
      </c>
      <c r="J22" s="20">
        <v>2041</v>
      </c>
      <c r="K22" s="20">
        <v>2359</v>
      </c>
      <c r="L22" s="20">
        <f t="shared" si="3"/>
        <v>8391</v>
      </c>
    </row>
    <row r="23" spans="1:12" s="21" customFormat="1" ht="27.75" customHeight="1" x14ac:dyDescent="0.35">
      <c r="A23" s="18"/>
      <c r="B23" s="19" t="s">
        <v>20</v>
      </c>
      <c r="C23" s="20">
        <v>140</v>
      </c>
      <c r="D23" s="20">
        <v>149</v>
      </c>
      <c r="E23" s="20">
        <v>145</v>
      </c>
      <c r="F23" s="20">
        <v>178</v>
      </c>
      <c r="G23" s="20">
        <f t="shared" si="2"/>
        <v>612</v>
      </c>
      <c r="H23" s="20">
        <v>164</v>
      </c>
      <c r="I23" s="20">
        <v>177</v>
      </c>
      <c r="J23" s="20">
        <v>171</v>
      </c>
      <c r="K23" s="20">
        <v>200</v>
      </c>
      <c r="L23" s="20">
        <f t="shared" si="3"/>
        <v>712</v>
      </c>
    </row>
    <row r="24" spans="1:12" s="21" customFormat="1" ht="27.75" customHeight="1" x14ac:dyDescent="0.35">
      <c r="A24" s="18"/>
      <c r="B24" s="19" t="s">
        <v>21</v>
      </c>
      <c r="C24" s="22">
        <v>538</v>
      </c>
      <c r="D24" s="22">
        <v>588</v>
      </c>
      <c r="E24" s="22">
        <v>423</v>
      </c>
      <c r="F24" s="22">
        <v>481</v>
      </c>
      <c r="G24" s="22">
        <f t="shared" si="2"/>
        <v>2030</v>
      </c>
      <c r="H24" s="22">
        <v>547</v>
      </c>
      <c r="I24" s="22">
        <v>496</v>
      </c>
      <c r="J24" s="22">
        <v>537</v>
      </c>
      <c r="K24" s="22">
        <v>446</v>
      </c>
      <c r="L24" s="22">
        <f t="shared" si="3"/>
        <v>2026</v>
      </c>
    </row>
    <row r="25" spans="1:12" s="9" customFormat="1" ht="27.75" customHeight="1" x14ac:dyDescent="0.35">
      <c r="A25" s="16"/>
      <c r="B25" s="13" t="s">
        <v>22</v>
      </c>
      <c r="C25" s="15">
        <f t="shared" ref="C25:H25" si="14">C26+C27</f>
        <v>12064</v>
      </c>
      <c r="D25" s="15">
        <f t="shared" si="14"/>
        <v>9991</v>
      </c>
      <c r="E25" s="15">
        <f t="shared" si="14"/>
        <v>7050</v>
      </c>
      <c r="F25" s="15">
        <f t="shared" si="14"/>
        <v>11452</v>
      </c>
      <c r="G25" s="15">
        <f t="shared" si="2"/>
        <v>40557</v>
      </c>
      <c r="H25" s="15">
        <f t="shared" si="14"/>
        <v>11516</v>
      </c>
      <c r="I25" s="15">
        <f>I26+I27</f>
        <v>11061</v>
      </c>
      <c r="J25" s="15">
        <f>J26+J27</f>
        <v>9655</v>
      </c>
      <c r="K25" s="15">
        <f>K26+K27</f>
        <v>12072</v>
      </c>
      <c r="L25" s="15">
        <f t="shared" si="3"/>
        <v>44304</v>
      </c>
    </row>
    <row r="26" spans="1:12" s="21" customFormat="1" ht="27.75" customHeight="1" x14ac:dyDescent="0.35">
      <c r="A26" s="18"/>
      <c r="B26" s="19" t="s">
        <v>23</v>
      </c>
      <c r="C26" s="20">
        <v>4173</v>
      </c>
      <c r="D26" s="20">
        <v>3469</v>
      </c>
      <c r="E26" s="20">
        <v>2663</v>
      </c>
      <c r="F26" s="20">
        <v>5197</v>
      </c>
      <c r="G26" s="20">
        <f t="shared" si="2"/>
        <v>15502</v>
      </c>
      <c r="H26" s="20">
        <v>4175</v>
      </c>
      <c r="I26" s="20">
        <v>3906</v>
      </c>
      <c r="J26" s="20">
        <v>3038</v>
      </c>
      <c r="K26" s="20">
        <v>4237</v>
      </c>
      <c r="L26" s="20">
        <f t="shared" si="3"/>
        <v>15356</v>
      </c>
    </row>
    <row r="27" spans="1:12" s="21" customFormat="1" ht="27.75" customHeight="1" x14ac:dyDescent="0.35">
      <c r="A27" s="23"/>
      <c r="B27" s="19" t="s">
        <v>24</v>
      </c>
      <c r="C27" s="22">
        <v>7891</v>
      </c>
      <c r="D27" s="22">
        <v>6522</v>
      </c>
      <c r="E27" s="22">
        <v>4387</v>
      </c>
      <c r="F27" s="22">
        <v>6255</v>
      </c>
      <c r="G27" s="22">
        <f t="shared" si="2"/>
        <v>25055</v>
      </c>
      <c r="H27" s="22">
        <v>7341</v>
      </c>
      <c r="I27" s="22">
        <v>7155</v>
      </c>
      <c r="J27" s="22">
        <v>6617</v>
      </c>
      <c r="K27" s="22">
        <v>7835</v>
      </c>
      <c r="L27" s="22">
        <f t="shared" si="3"/>
        <v>28948</v>
      </c>
    </row>
    <row r="28" spans="1:12" s="9" customFormat="1" ht="27.75" customHeight="1" x14ac:dyDescent="0.35">
      <c r="A28" s="6"/>
      <c r="B28" s="13" t="s">
        <v>25</v>
      </c>
      <c r="C28" s="15">
        <f t="shared" ref="C28:H28" si="15">C29+C30</f>
        <v>11231</v>
      </c>
      <c r="D28" s="15">
        <f t="shared" si="15"/>
        <v>15550</v>
      </c>
      <c r="E28" s="15">
        <f t="shared" si="15"/>
        <v>12688</v>
      </c>
      <c r="F28" s="15">
        <f t="shared" si="15"/>
        <v>13602</v>
      </c>
      <c r="G28" s="15">
        <f t="shared" si="2"/>
        <v>53071</v>
      </c>
      <c r="H28" s="15">
        <f t="shared" si="15"/>
        <v>8849</v>
      </c>
      <c r="I28" s="15">
        <f>I29+I30</f>
        <v>13258</v>
      </c>
      <c r="J28" s="15">
        <f>J29+J30</f>
        <v>14015</v>
      </c>
      <c r="K28" s="15">
        <f>K29+K30</f>
        <v>14144</v>
      </c>
      <c r="L28" s="15">
        <f t="shared" si="3"/>
        <v>50266</v>
      </c>
    </row>
    <row r="29" spans="1:12" s="21" customFormat="1" ht="27.75" customHeight="1" x14ac:dyDescent="0.35">
      <c r="A29" s="18"/>
      <c r="B29" s="19" t="s">
        <v>26</v>
      </c>
      <c r="C29" s="20">
        <v>11012</v>
      </c>
      <c r="D29" s="20">
        <v>15079</v>
      </c>
      <c r="E29" s="20">
        <v>11549</v>
      </c>
      <c r="F29" s="20">
        <v>12119</v>
      </c>
      <c r="G29" s="20">
        <f t="shared" si="2"/>
        <v>49759</v>
      </c>
      <c r="H29" s="20">
        <v>8203</v>
      </c>
      <c r="I29" s="20">
        <v>11861</v>
      </c>
      <c r="J29" s="20">
        <v>13296</v>
      </c>
      <c r="K29" s="20">
        <v>13630</v>
      </c>
      <c r="L29" s="20">
        <f t="shared" si="3"/>
        <v>46990</v>
      </c>
    </row>
    <row r="30" spans="1:12" s="21" customFormat="1" ht="27.75" customHeight="1" x14ac:dyDescent="0.35">
      <c r="A30" s="18"/>
      <c r="B30" s="19" t="s">
        <v>27</v>
      </c>
      <c r="C30" s="20">
        <v>219</v>
      </c>
      <c r="D30" s="20">
        <v>471</v>
      </c>
      <c r="E30" s="20">
        <v>1139</v>
      </c>
      <c r="F30" s="20">
        <v>1483</v>
      </c>
      <c r="G30" s="20">
        <f t="shared" si="2"/>
        <v>3312</v>
      </c>
      <c r="H30" s="20">
        <v>646</v>
      </c>
      <c r="I30" s="20">
        <v>1397</v>
      </c>
      <c r="J30" s="20">
        <v>719</v>
      </c>
      <c r="K30" s="20">
        <v>514</v>
      </c>
      <c r="L30" s="20">
        <f t="shared" si="3"/>
        <v>3276</v>
      </c>
    </row>
    <row r="31" spans="1:12" s="9" customFormat="1" ht="27.75" customHeight="1" x14ac:dyDescent="0.35">
      <c r="A31" s="6"/>
      <c r="B31" s="13" t="s">
        <v>28</v>
      </c>
      <c r="C31" s="14">
        <f t="shared" ref="C31:H31" si="16">C32+C36+C39</f>
        <v>-20023</v>
      </c>
      <c r="D31" s="14">
        <f t="shared" si="16"/>
        <v>-21173</v>
      </c>
      <c r="E31" s="14">
        <f t="shared" si="16"/>
        <v>-20465</v>
      </c>
      <c r="F31" s="14">
        <f t="shared" si="16"/>
        <v>-21504</v>
      </c>
      <c r="G31" s="14">
        <f t="shared" si="2"/>
        <v>-83165</v>
      </c>
      <c r="H31" s="14">
        <f t="shared" si="16"/>
        <v>-18762</v>
      </c>
      <c r="I31" s="14">
        <f>I32+I36+I39</f>
        <v>-17792</v>
      </c>
      <c r="J31" s="14">
        <f>J32+J36+J39</f>
        <v>-20184</v>
      </c>
      <c r="K31" s="14">
        <f>K32+K36+K39</f>
        <v>-20141</v>
      </c>
      <c r="L31" s="14">
        <f t="shared" si="3"/>
        <v>-76879</v>
      </c>
    </row>
    <row r="32" spans="1:12" s="9" customFormat="1" ht="27.75" customHeight="1" x14ac:dyDescent="0.35">
      <c r="A32" s="6"/>
      <c r="B32" s="13" t="s">
        <v>18</v>
      </c>
      <c r="C32" s="14">
        <f t="shared" ref="C32:F32" si="17">C33+C34+C35</f>
        <v>-4373</v>
      </c>
      <c r="D32" s="14">
        <f t="shared" si="17"/>
        <v>-4174</v>
      </c>
      <c r="E32" s="14">
        <f t="shared" si="17"/>
        <v>-4517</v>
      </c>
      <c r="F32" s="14">
        <f t="shared" si="17"/>
        <v>-4999</v>
      </c>
      <c r="G32" s="14">
        <f t="shared" si="2"/>
        <v>-18063</v>
      </c>
      <c r="H32" s="14">
        <f>H33+H34+H35</f>
        <v>-4453</v>
      </c>
      <c r="I32" s="14">
        <f>I33+I34+I35</f>
        <v>-4240</v>
      </c>
      <c r="J32" s="14">
        <f>J33+J34+J35</f>
        <v>-4570</v>
      </c>
      <c r="K32" s="14">
        <f>K33+K34+K35</f>
        <v>-5223</v>
      </c>
      <c r="L32" s="14">
        <f t="shared" si="3"/>
        <v>-18486</v>
      </c>
    </row>
    <row r="33" spans="1:12" s="21" customFormat="1" ht="27.75" customHeight="1" x14ac:dyDescent="0.35">
      <c r="A33" s="18"/>
      <c r="B33" s="19" t="s">
        <v>19</v>
      </c>
      <c r="C33" s="20">
        <v>-140</v>
      </c>
      <c r="D33" s="20">
        <v>-113</v>
      </c>
      <c r="E33" s="20">
        <v>-171</v>
      </c>
      <c r="F33" s="20">
        <v>-179</v>
      </c>
      <c r="G33" s="20">
        <f t="shared" si="2"/>
        <v>-603</v>
      </c>
      <c r="H33" s="20">
        <v>-148</v>
      </c>
      <c r="I33" s="20">
        <v>-195</v>
      </c>
      <c r="J33" s="20">
        <v>-174</v>
      </c>
      <c r="K33" s="20">
        <v>-165</v>
      </c>
      <c r="L33" s="20">
        <f t="shared" si="3"/>
        <v>-682</v>
      </c>
    </row>
    <row r="34" spans="1:12" s="21" customFormat="1" ht="27.75" customHeight="1" x14ac:dyDescent="0.35">
      <c r="A34" s="18"/>
      <c r="B34" s="19" t="s">
        <v>20</v>
      </c>
      <c r="C34" s="22">
        <v>-2187</v>
      </c>
      <c r="D34" s="22">
        <v>-2385</v>
      </c>
      <c r="E34" s="22">
        <v>-2604</v>
      </c>
      <c r="F34" s="22">
        <v>-2691</v>
      </c>
      <c r="G34" s="22">
        <f t="shared" si="2"/>
        <v>-9867</v>
      </c>
      <c r="H34" s="22">
        <v>-2102</v>
      </c>
      <c r="I34" s="22">
        <v>-2391</v>
      </c>
      <c r="J34" s="22">
        <v>-2517</v>
      </c>
      <c r="K34" s="22">
        <v>-2875</v>
      </c>
      <c r="L34" s="22">
        <f t="shared" si="3"/>
        <v>-9885</v>
      </c>
    </row>
    <row r="35" spans="1:12" s="21" customFormat="1" ht="27.75" customHeight="1" x14ac:dyDescent="0.35">
      <c r="A35" s="18"/>
      <c r="B35" s="19" t="s">
        <v>21</v>
      </c>
      <c r="C35" s="22">
        <v>-2046</v>
      </c>
      <c r="D35" s="22">
        <v>-1676</v>
      </c>
      <c r="E35" s="22">
        <v>-1742</v>
      </c>
      <c r="F35" s="22">
        <v>-2129</v>
      </c>
      <c r="G35" s="22">
        <f t="shared" si="2"/>
        <v>-7593</v>
      </c>
      <c r="H35" s="22">
        <v>-2203</v>
      </c>
      <c r="I35" s="22">
        <v>-1654</v>
      </c>
      <c r="J35" s="22">
        <v>-1879</v>
      </c>
      <c r="K35" s="22">
        <v>-2183</v>
      </c>
      <c r="L35" s="22">
        <f t="shared" si="3"/>
        <v>-7919</v>
      </c>
    </row>
    <row r="36" spans="1:12" s="9" customFormat="1" ht="27.75" customHeight="1" x14ac:dyDescent="0.35">
      <c r="A36" s="16"/>
      <c r="B36" s="13" t="s">
        <v>22</v>
      </c>
      <c r="C36" s="15">
        <f t="shared" ref="C36:H36" si="18">C37+C38</f>
        <v>-3212</v>
      </c>
      <c r="D36" s="15">
        <f t="shared" si="18"/>
        <v>-3081</v>
      </c>
      <c r="E36" s="15">
        <f t="shared" si="18"/>
        <v>-3679</v>
      </c>
      <c r="F36" s="15">
        <f t="shared" si="18"/>
        <v>-3416</v>
      </c>
      <c r="G36" s="15">
        <f t="shared" si="2"/>
        <v>-13388</v>
      </c>
      <c r="H36" s="15">
        <f t="shared" si="18"/>
        <v>-3602</v>
      </c>
      <c r="I36" s="15">
        <f>I37+I38</f>
        <v>-3291</v>
      </c>
      <c r="J36" s="15">
        <f>J37+J38</f>
        <v>-4099</v>
      </c>
      <c r="K36" s="15">
        <f>K37+K38</f>
        <v>-3785</v>
      </c>
      <c r="L36" s="15">
        <f t="shared" si="3"/>
        <v>-14777</v>
      </c>
    </row>
    <row r="37" spans="1:12" s="21" customFormat="1" ht="27.75" customHeight="1" x14ac:dyDescent="0.35">
      <c r="A37" s="18"/>
      <c r="B37" s="19" t="s">
        <v>23</v>
      </c>
      <c r="C37" s="20">
        <v>-219</v>
      </c>
      <c r="D37" s="20">
        <v>-201</v>
      </c>
      <c r="E37" s="20">
        <v>-300</v>
      </c>
      <c r="F37" s="20">
        <v>-356</v>
      </c>
      <c r="G37" s="20">
        <f t="shared" si="2"/>
        <v>-1076</v>
      </c>
      <c r="H37" s="20">
        <v>-302</v>
      </c>
      <c r="I37" s="20">
        <v>-342</v>
      </c>
      <c r="J37" s="20">
        <v>-334</v>
      </c>
      <c r="K37" s="20">
        <v>-477</v>
      </c>
      <c r="L37" s="20">
        <f t="shared" si="3"/>
        <v>-1455</v>
      </c>
    </row>
    <row r="38" spans="1:12" s="21" customFormat="1" ht="27.75" customHeight="1" x14ac:dyDescent="0.35">
      <c r="A38" s="23"/>
      <c r="B38" s="19" t="s">
        <v>24</v>
      </c>
      <c r="C38" s="22">
        <v>-2993</v>
      </c>
      <c r="D38" s="22">
        <v>-2880</v>
      </c>
      <c r="E38" s="22">
        <v>-3379</v>
      </c>
      <c r="F38" s="22">
        <v>-3060</v>
      </c>
      <c r="G38" s="22">
        <f t="shared" si="2"/>
        <v>-12312</v>
      </c>
      <c r="H38" s="22">
        <v>-3300</v>
      </c>
      <c r="I38" s="22">
        <v>-2949</v>
      </c>
      <c r="J38" s="22">
        <v>-3765</v>
      </c>
      <c r="K38" s="22">
        <v>-3308</v>
      </c>
      <c r="L38" s="22">
        <f t="shared" si="3"/>
        <v>-13322</v>
      </c>
    </row>
    <row r="39" spans="1:12" s="9" customFormat="1" ht="27.75" customHeight="1" x14ac:dyDescent="0.35">
      <c r="A39" s="6"/>
      <c r="B39" s="13" t="s">
        <v>25</v>
      </c>
      <c r="C39" s="24">
        <f t="shared" ref="C39:H39" si="19">C40+C41</f>
        <v>-12438</v>
      </c>
      <c r="D39" s="24">
        <f t="shared" si="19"/>
        <v>-13918</v>
      </c>
      <c r="E39" s="24">
        <f t="shared" si="19"/>
        <v>-12269</v>
      </c>
      <c r="F39" s="24">
        <f t="shared" si="19"/>
        <v>-13089</v>
      </c>
      <c r="G39" s="24">
        <f t="shared" si="2"/>
        <v>-51714</v>
      </c>
      <c r="H39" s="24">
        <f t="shared" si="19"/>
        <v>-10707</v>
      </c>
      <c r="I39" s="24">
        <f>I40+I41</f>
        <v>-10261</v>
      </c>
      <c r="J39" s="24">
        <f>J40+J41</f>
        <v>-11515</v>
      </c>
      <c r="K39" s="24">
        <f>K40+K41</f>
        <v>-11133</v>
      </c>
      <c r="L39" s="24">
        <f t="shared" si="3"/>
        <v>-43616</v>
      </c>
    </row>
    <row r="40" spans="1:12" s="21" customFormat="1" ht="27.75" customHeight="1" x14ac:dyDescent="0.35">
      <c r="A40" s="23"/>
      <c r="B40" s="19" t="s">
        <v>26</v>
      </c>
      <c r="C40" s="22">
        <v>-12077</v>
      </c>
      <c r="D40" s="22">
        <v>-13565</v>
      </c>
      <c r="E40" s="22">
        <v>-11691</v>
      </c>
      <c r="F40" s="22">
        <v>-12110</v>
      </c>
      <c r="G40" s="22">
        <f t="shared" si="2"/>
        <v>-49443</v>
      </c>
      <c r="H40" s="22">
        <v>-10268</v>
      </c>
      <c r="I40" s="22">
        <v>-9680</v>
      </c>
      <c r="J40" s="22">
        <v>-10887</v>
      </c>
      <c r="K40" s="22">
        <v>-10708</v>
      </c>
      <c r="L40" s="22">
        <f t="shared" si="3"/>
        <v>-41543</v>
      </c>
    </row>
    <row r="41" spans="1:12" s="21" customFormat="1" ht="27.75" customHeight="1" x14ac:dyDescent="0.35">
      <c r="A41" s="23"/>
      <c r="B41" s="19" t="s">
        <v>27</v>
      </c>
      <c r="C41" s="22">
        <v>-361</v>
      </c>
      <c r="D41" s="22">
        <v>-353</v>
      </c>
      <c r="E41" s="22">
        <v>-578</v>
      </c>
      <c r="F41" s="22">
        <v>-979</v>
      </c>
      <c r="G41" s="22">
        <f>C41+D41+E41+F41</f>
        <v>-2271</v>
      </c>
      <c r="H41" s="22">
        <v>-439</v>
      </c>
      <c r="I41" s="22">
        <v>-581</v>
      </c>
      <c r="J41" s="22">
        <v>-628</v>
      </c>
      <c r="K41" s="22">
        <v>-425</v>
      </c>
      <c r="L41" s="22">
        <f t="shared" si="3"/>
        <v>-2073</v>
      </c>
    </row>
    <row r="42" spans="1:12" s="50" customFormat="1" ht="27.75" customHeight="1" x14ac:dyDescent="0.3">
      <c r="A42" s="6" t="s">
        <v>29</v>
      </c>
      <c r="B42" s="10" t="s">
        <v>30</v>
      </c>
      <c r="C42" s="53">
        <f t="shared" ref="C42:F42" si="20">C43+C60</f>
        <v>2114.9170000000013</v>
      </c>
      <c r="D42" s="53">
        <f t="shared" si="20"/>
        <v>182</v>
      </c>
      <c r="E42" s="53">
        <f t="shared" si="20"/>
        <v>3197</v>
      </c>
      <c r="F42" s="53">
        <f t="shared" si="20"/>
        <v>3640</v>
      </c>
      <c r="G42" s="53">
        <f t="shared" si="2"/>
        <v>9133.9170000000013</v>
      </c>
      <c r="H42" s="53">
        <f>H43+H60</f>
        <v>2217</v>
      </c>
      <c r="I42" s="53">
        <f>I43+I60</f>
        <v>-2852.2000000000007</v>
      </c>
      <c r="J42" s="53">
        <f>J43+J60</f>
        <v>-743</v>
      </c>
      <c r="K42" s="53">
        <f>K43+K60</f>
        <v>-906</v>
      </c>
      <c r="L42" s="53">
        <f t="shared" si="3"/>
        <v>-2284.2000000000007</v>
      </c>
    </row>
    <row r="43" spans="1:12" s="50" customFormat="1" ht="27.75" customHeight="1" x14ac:dyDescent="0.35">
      <c r="A43" s="6"/>
      <c r="B43" s="13" t="s">
        <v>31</v>
      </c>
      <c r="C43" s="14">
        <f t="shared" ref="C43:F43" si="21">C44+C45+C47+C49</f>
        <v>13506</v>
      </c>
      <c r="D43" s="14">
        <f t="shared" si="21"/>
        <v>13513</v>
      </c>
      <c r="E43" s="14">
        <f t="shared" si="21"/>
        <v>14273</v>
      </c>
      <c r="F43" s="14">
        <f t="shared" si="21"/>
        <v>14059</v>
      </c>
      <c r="G43" s="14">
        <f t="shared" si="2"/>
        <v>55351</v>
      </c>
      <c r="H43" s="14">
        <f>H44+H45+H47+H49</f>
        <v>13230</v>
      </c>
      <c r="I43" s="14">
        <f>I44+I45+I47+I49</f>
        <v>13255</v>
      </c>
      <c r="J43" s="14">
        <f>J44+J45+J47+J49</f>
        <v>12698</v>
      </c>
      <c r="K43" s="14">
        <f>K44+K45+K47+K49</f>
        <v>13255</v>
      </c>
      <c r="L43" s="14">
        <f t="shared" si="3"/>
        <v>52438</v>
      </c>
    </row>
    <row r="44" spans="1:12" s="50" customFormat="1" ht="27.75" customHeight="1" x14ac:dyDescent="0.35">
      <c r="A44" s="6"/>
      <c r="B44" s="13" t="s">
        <v>32</v>
      </c>
      <c r="C44" s="14">
        <v>4</v>
      </c>
      <c r="D44" s="14">
        <v>6</v>
      </c>
      <c r="E44" s="14">
        <v>5</v>
      </c>
      <c r="F44" s="14">
        <v>3</v>
      </c>
      <c r="G44" s="14">
        <f t="shared" si="2"/>
        <v>18</v>
      </c>
      <c r="H44" s="14">
        <v>4</v>
      </c>
      <c r="I44" s="14">
        <v>3</v>
      </c>
      <c r="J44" s="14">
        <v>2</v>
      </c>
      <c r="K44" s="14">
        <v>9</v>
      </c>
      <c r="L44" s="14">
        <f t="shared" si="3"/>
        <v>18</v>
      </c>
    </row>
    <row r="45" spans="1:12" s="50" customFormat="1" ht="27.75" customHeight="1" x14ac:dyDescent="0.35">
      <c r="A45" s="6"/>
      <c r="B45" s="13" t="s">
        <v>33</v>
      </c>
      <c r="C45" s="14">
        <v>5143</v>
      </c>
      <c r="D45" s="14">
        <v>5518</v>
      </c>
      <c r="E45" s="14">
        <v>5575</v>
      </c>
      <c r="F45" s="14">
        <v>5661</v>
      </c>
      <c r="G45" s="14">
        <f t="shared" si="2"/>
        <v>21897</v>
      </c>
      <c r="H45" s="14">
        <f>52+H46</f>
        <v>5264</v>
      </c>
      <c r="I45" s="14">
        <f>114+I46</f>
        <v>5240</v>
      </c>
      <c r="J45" s="14">
        <f>235+J46</f>
        <v>5215</v>
      </c>
      <c r="K45" s="14">
        <v>5007</v>
      </c>
      <c r="L45" s="14">
        <f t="shared" si="3"/>
        <v>20726</v>
      </c>
    </row>
    <row r="46" spans="1:12" s="51" customFormat="1" ht="27.75" customHeight="1" x14ac:dyDescent="0.35">
      <c r="A46" s="23"/>
      <c r="B46" s="19" t="s">
        <v>34</v>
      </c>
      <c r="C46" s="22">
        <v>5100</v>
      </c>
      <c r="D46" s="22">
        <v>5325</v>
      </c>
      <c r="E46" s="22">
        <v>5426</v>
      </c>
      <c r="F46" s="22">
        <v>5612</v>
      </c>
      <c r="G46" s="22">
        <f t="shared" si="2"/>
        <v>21463</v>
      </c>
      <c r="H46" s="22">
        <v>5212</v>
      </c>
      <c r="I46" s="22">
        <v>5126</v>
      </c>
      <c r="J46" s="22">
        <v>4980</v>
      </c>
      <c r="K46" s="22">
        <v>4886</v>
      </c>
      <c r="L46" s="22">
        <f t="shared" si="3"/>
        <v>20204</v>
      </c>
    </row>
    <row r="47" spans="1:12" s="50" customFormat="1" ht="27.75" customHeight="1" x14ac:dyDescent="0.35">
      <c r="A47" s="6"/>
      <c r="B47" s="13" t="s">
        <v>35</v>
      </c>
      <c r="C47" s="14">
        <v>3510</v>
      </c>
      <c r="D47" s="14">
        <v>3092</v>
      </c>
      <c r="E47" s="14">
        <v>3162</v>
      </c>
      <c r="F47" s="14">
        <v>3189</v>
      </c>
      <c r="G47" s="14">
        <f t="shared" si="2"/>
        <v>12953</v>
      </c>
      <c r="H47" s="14">
        <f>191+H48</f>
        <v>3065</v>
      </c>
      <c r="I47" s="14">
        <f>576+I48</f>
        <v>3330</v>
      </c>
      <c r="J47" s="14">
        <f>345+J48</f>
        <v>3008</v>
      </c>
      <c r="K47" s="14">
        <v>3054</v>
      </c>
      <c r="L47" s="14">
        <f t="shared" si="3"/>
        <v>12457</v>
      </c>
    </row>
    <row r="48" spans="1:12" s="51" customFormat="1" ht="27.75" customHeight="1" x14ac:dyDescent="0.35">
      <c r="A48" s="23"/>
      <c r="B48" s="19" t="s">
        <v>34</v>
      </c>
      <c r="C48" s="22">
        <v>2899</v>
      </c>
      <c r="D48" s="22">
        <v>2925</v>
      </c>
      <c r="E48" s="22">
        <v>2970</v>
      </c>
      <c r="F48" s="22">
        <v>2998</v>
      </c>
      <c r="G48" s="22">
        <f t="shared" si="2"/>
        <v>11792</v>
      </c>
      <c r="H48" s="22">
        <v>2874</v>
      </c>
      <c r="I48" s="22">
        <v>2754</v>
      </c>
      <c r="J48" s="22">
        <v>2663</v>
      </c>
      <c r="K48" s="22">
        <v>2580</v>
      </c>
      <c r="L48" s="22">
        <f t="shared" si="3"/>
        <v>10871</v>
      </c>
    </row>
    <row r="49" spans="1:12" s="50" customFormat="1" ht="27.75" customHeight="1" x14ac:dyDescent="0.35">
      <c r="A49" s="16"/>
      <c r="B49" s="13" t="s">
        <v>36</v>
      </c>
      <c r="C49" s="15">
        <f t="shared" ref="C49:F49" si="22">SUM(C50:C53)</f>
        <v>4849</v>
      </c>
      <c r="D49" s="15">
        <f t="shared" si="22"/>
        <v>4897</v>
      </c>
      <c r="E49" s="15">
        <f t="shared" si="22"/>
        <v>5531</v>
      </c>
      <c r="F49" s="15">
        <f t="shared" si="22"/>
        <v>5206</v>
      </c>
      <c r="G49" s="15">
        <f t="shared" si="2"/>
        <v>20483</v>
      </c>
      <c r="H49" s="15">
        <f>SUM(H50:H53)</f>
        <v>4897</v>
      </c>
      <c r="I49" s="15">
        <f>SUM(I50:I53)</f>
        <v>4682</v>
      </c>
      <c r="J49" s="15">
        <f>SUM(J50:J53)</f>
        <v>4473</v>
      </c>
      <c r="K49" s="15">
        <f>SUM(K50:K53)</f>
        <v>5185</v>
      </c>
      <c r="L49" s="15">
        <f t="shared" si="3"/>
        <v>19237</v>
      </c>
    </row>
    <row r="50" spans="1:12" s="51" customFormat="1" ht="27.75" customHeight="1" x14ac:dyDescent="0.35">
      <c r="A50" s="23"/>
      <c r="B50" s="19" t="s">
        <v>37</v>
      </c>
      <c r="C50" s="22">
        <v>0</v>
      </c>
      <c r="D50" s="22">
        <v>0</v>
      </c>
      <c r="E50" s="22">
        <v>0</v>
      </c>
      <c r="F50" s="22">
        <v>0</v>
      </c>
      <c r="G50" s="22">
        <f t="shared" si="2"/>
        <v>0</v>
      </c>
      <c r="H50" s="22">
        <v>0</v>
      </c>
      <c r="I50" s="22">
        <v>0</v>
      </c>
      <c r="J50" s="22">
        <v>0</v>
      </c>
      <c r="K50" s="22">
        <v>0</v>
      </c>
      <c r="L50" s="22">
        <f t="shared" si="3"/>
        <v>0</v>
      </c>
    </row>
    <row r="51" spans="1:12" s="51" customFormat="1" ht="27.75" customHeight="1" x14ac:dyDescent="0.35">
      <c r="A51" s="23"/>
      <c r="B51" s="19" t="s">
        <v>38</v>
      </c>
      <c r="C51" s="22">
        <v>187</v>
      </c>
      <c r="D51" s="22">
        <v>176</v>
      </c>
      <c r="E51" s="22">
        <v>163</v>
      </c>
      <c r="F51" s="22">
        <v>164</v>
      </c>
      <c r="G51" s="22">
        <f t="shared" si="2"/>
        <v>690</v>
      </c>
      <c r="H51" s="22">
        <v>166</v>
      </c>
      <c r="I51" s="22">
        <v>201</v>
      </c>
      <c r="J51" s="22">
        <v>209</v>
      </c>
      <c r="K51" s="22">
        <v>202</v>
      </c>
      <c r="L51" s="22">
        <f t="shared" si="3"/>
        <v>778</v>
      </c>
    </row>
    <row r="52" spans="1:12" s="51" customFormat="1" ht="27.75" customHeight="1" x14ac:dyDescent="0.35">
      <c r="A52" s="23"/>
      <c r="B52" s="19" t="s">
        <v>39</v>
      </c>
      <c r="C52" s="22">
        <v>3685</v>
      </c>
      <c r="D52" s="22">
        <v>3660</v>
      </c>
      <c r="E52" s="22">
        <v>3859</v>
      </c>
      <c r="F52" s="22">
        <v>3387</v>
      </c>
      <c r="G52" s="22">
        <f t="shared" si="2"/>
        <v>14591</v>
      </c>
      <c r="H52" s="22">
        <v>3493</v>
      </c>
      <c r="I52" s="22">
        <v>3548</v>
      </c>
      <c r="J52" s="22">
        <v>3425</v>
      </c>
      <c r="K52" s="22">
        <v>4124</v>
      </c>
      <c r="L52" s="22">
        <f t="shared" si="3"/>
        <v>14590</v>
      </c>
    </row>
    <row r="53" spans="1:12" s="51" customFormat="1" ht="27.75" customHeight="1" x14ac:dyDescent="0.35">
      <c r="A53" s="23"/>
      <c r="B53" s="19" t="s">
        <v>40</v>
      </c>
      <c r="C53" s="22">
        <v>977</v>
      </c>
      <c r="D53" s="22">
        <v>1061</v>
      </c>
      <c r="E53" s="22">
        <v>1509</v>
      </c>
      <c r="F53" s="22">
        <v>1655</v>
      </c>
      <c r="G53" s="22">
        <f t="shared" si="2"/>
        <v>5202</v>
      </c>
      <c r="H53" s="22">
        <f>268+H54</f>
        <v>1238</v>
      </c>
      <c r="I53" s="22">
        <f>18+I54</f>
        <v>933</v>
      </c>
      <c r="J53" s="22">
        <f>25+J54</f>
        <v>839</v>
      </c>
      <c r="K53" s="22">
        <v>859</v>
      </c>
      <c r="L53" s="22">
        <f t="shared" si="3"/>
        <v>3869</v>
      </c>
    </row>
    <row r="54" spans="1:12" s="51" customFormat="1" ht="27.75" customHeight="1" thickBot="1" x14ac:dyDescent="0.4">
      <c r="A54" s="54"/>
      <c r="B54" s="55" t="s">
        <v>34</v>
      </c>
      <c r="C54" s="56">
        <v>964</v>
      </c>
      <c r="D54" s="56">
        <v>1024</v>
      </c>
      <c r="E54" s="56">
        <v>1090</v>
      </c>
      <c r="F54" s="56">
        <v>1106</v>
      </c>
      <c r="G54" s="56">
        <f t="shared" si="2"/>
        <v>4184</v>
      </c>
      <c r="H54" s="56">
        <v>970</v>
      </c>
      <c r="I54" s="56">
        <v>915</v>
      </c>
      <c r="J54" s="56">
        <v>814</v>
      </c>
      <c r="K54" s="56">
        <v>785</v>
      </c>
      <c r="L54" s="56">
        <f t="shared" si="3"/>
        <v>3484</v>
      </c>
    </row>
    <row r="55" spans="1:12" ht="43.5" customHeight="1" x14ac:dyDescent="0.35">
      <c r="A55" s="25" t="s">
        <v>41</v>
      </c>
      <c r="B55" s="21"/>
      <c r="C55" s="27"/>
      <c r="D55" s="28"/>
      <c r="E55" s="27"/>
      <c r="F55" s="27"/>
      <c r="G55" s="26"/>
    </row>
    <row r="56" spans="1:12" ht="39" customHeight="1" thickBot="1" x14ac:dyDescent="0.4">
      <c r="A56" s="29"/>
      <c r="C56" s="4"/>
      <c r="D56" s="4"/>
      <c r="E56" s="4"/>
      <c r="F56" s="4"/>
      <c r="G56" s="4"/>
      <c r="H56" s="4"/>
      <c r="I56" s="4"/>
      <c r="L56" s="4" t="s">
        <v>81</v>
      </c>
    </row>
    <row r="57" spans="1:12" s="9" customFormat="1" ht="41.25" customHeight="1" thickBot="1" x14ac:dyDescent="0.35">
      <c r="A57" s="75"/>
      <c r="B57" s="84"/>
      <c r="C57" s="79" t="s">
        <v>83</v>
      </c>
      <c r="D57" s="79"/>
      <c r="E57" s="79"/>
      <c r="F57" s="79"/>
      <c r="G57" s="80">
        <v>2013</v>
      </c>
      <c r="H57" s="82" t="s">
        <v>85</v>
      </c>
      <c r="I57" s="83"/>
      <c r="J57" s="83"/>
      <c r="K57" s="83"/>
      <c r="L57" s="80" t="s">
        <v>86</v>
      </c>
    </row>
    <row r="58" spans="1:12" s="9" customFormat="1" ht="54.75" customHeight="1" x14ac:dyDescent="0.3">
      <c r="A58" s="76"/>
      <c r="B58" s="85"/>
      <c r="C58" s="60" t="s">
        <v>42</v>
      </c>
      <c r="D58" s="61" t="s">
        <v>43</v>
      </c>
      <c r="E58" s="61" t="s">
        <v>2</v>
      </c>
      <c r="F58" s="68" t="s">
        <v>3</v>
      </c>
      <c r="G58" s="86"/>
      <c r="H58" s="68" t="s">
        <v>42</v>
      </c>
      <c r="I58" s="68" t="s">
        <v>43</v>
      </c>
      <c r="J58" s="67" t="s">
        <v>2</v>
      </c>
      <c r="K58" s="67" t="s">
        <v>84</v>
      </c>
      <c r="L58" s="81"/>
    </row>
    <row r="59" spans="1:12" s="9" customFormat="1" ht="21" customHeight="1" x14ac:dyDescent="0.35">
      <c r="A59" s="6"/>
      <c r="B59" s="30"/>
      <c r="C59" s="62"/>
      <c r="D59" s="59"/>
      <c r="E59" s="62"/>
      <c r="F59" s="62"/>
      <c r="G59" s="31"/>
      <c r="H59" s="15"/>
      <c r="I59" s="15"/>
      <c r="J59" s="15"/>
      <c r="K59" s="15"/>
      <c r="L59" s="62"/>
    </row>
    <row r="60" spans="1:12" s="50" customFormat="1" ht="24.75" customHeight="1" x14ac:dyDescent="0.35">
      <c r="A60" s="32"/>
      <c r="B60" s="13" t="s">
        <v>28</v>
      </c>
      <c r="C60" s="15">
        <v>-11391.082999999999</v>
      </c>
      <c r="D60" s="15">
        <v>-13331</v>
      </c>
      <c r="E60" s="15">
        <v>-11076</v>
      </c>
      <c r="F60" s="15">
        <f>F61+F62+F64+F66</f>
        <v>-10419</v>
      </c>
      <c r="G60" s="15">
        <f>C60+D60+E60+F60</f>
        <v>-46217.082999999999</v>
      </c>
      <c r="H60" s="33">
        <f t="shared" ref="H60" si="23">H61+H62+H64+H66</f>
        <v>-11013</v>
      </c>
      <c r="I60" s="33">
        <f>I61+I62+I64+I66</f>
        <v>-16107.2</v>
      </c>
      <c r="J60" s="33">
        <f>J61+J62+J64+J66</f>
        <v>-13441</v>
      </c>
      <c r="K60" s="33">
        <f>K61+K62+K64+K66</f>
        <v>-14161</v>
      </c>
      <c r="L60" s="33">
        <f>H60+I60+J60+K60</f>
        <v>-54722.2</v>
      </c>
    </row>
    <row r="61" spans="1:12" s="50" customFormat="1" ht="24.75" customHeight="1" x14ac:dyDescent="0.35">
      <c r="A61" s="32"/>
      <c r="B61" s="13" t="s">
        <v>44</v>
      </c>
      <c r="C61" s="33">
        <v>-62</v>
      </c>
      <c r="D61" s="33">
        <v>-64</v>
      </c>
      <c r="E61" s="33">
        <v>-58</v>
      </c>
      <c r="F61" s="33">
        <v>-72</v>
      </c>
      <c r="G61" s="33">
        <f t="shared" ref="G61:G121" si="24">C61+D61+E61+F61</f>
        <v>-256</v>
      </c>
      <c r="H61" s="14">
        <v>-59</v>
      </c>
      <c r="I61" s="14">
        <v>-75</v>
      </c>
      <c r="J61" s="14">
        <v>-62</v>
      </c>
      <c r="K61" s="14">
        <v>-76</v>
      </c>
      <c r="L61" s="14">
        <f t="shared" ref="L61:L121" si="25">H61+I61+J61+K61</f>
        <v>-272</v>
      </c>
    </row>
    <row r="62" spans="1:12" s="50" customFormat="1" ht="24.75" customHeight="1" x14ac:dyDescent="0.35">
      <c r="A62" s="32"/>
      <c r="B62" s="13" t="s">
        <v>33</v>
      </c>
      <c r="C62" s="14">
        <v>-5288</v>
      </c>
      <c r="D62" s="14">
        <v>-7952</v>
      </c>
      <c r="E62" s="14">
        <v>-5343</v>
      </c>
      <c r="F62" s="14">
        <v>-5159</v>
      </c>
      <c r="G62" s="14">
        <f t="shared" si="24"/>
        <v>-23742</v>
      </c>
      <c r="H62" s="14">
        <f>-555+H63</f>
        <v>-5380</v>
      </c>
      <c r="I62" s="14">
        <f>-1397+I63</f>
        <v>-6295</v>
      </c>
      <c r="J62" s="14">
        <f>-3155+J63</f>
        <v>-7777</v>
      </c>
      <c r="K62" s="14">
        <v>-6329</v>
      </c>
      <c r="L62" s="14">
        <f t="shared" si="25"/>
        <v>-25781</v>
      </c>
    </row>
    <row r="63" spans="1:12" s="51" customFormat="1" ht="24.75" customHeight="1" x14ac:dyDescent="0.35">
      <c r="A63" s="34"/>
      <c r="B63" s="19" t="s">
        <v>34</v>
      </c>
      <c r="C63" s="22">
        <v>-4400</v>
      </c>
      <c r="D63" s="22">
        <v>-4526</v>
      </c>
      <c r="E63" s="22">
        <v>-4645</v>
      </c>
      <c r="F63" s="22">
        <v>-4698</v>
      </c>
      <c r="G63" s="22">
        <f t="shared" si="24"/>
        <v>-18269</v>
      </c>
      <c r="H63" s="22">
        <v>-4825</v>
      </c>
      <c r="I63" s="22">
        <v>-4898</v>
      </c>
      <c r="J63" s="22">
        <v>-4622</v>
      </c>
      <c r="K63" s="22">
        <v>-4570</v>
      </c>
      <c r="L63" s="22">
        <f t="shared" si="25"/>
        <v>-18915</v>
      </c>
    </row>
    <row r="64" spans="1:12" s="50" customFormat="1" ht="24.75" customHeight="1" x14ac:dyDescent="0.35">
      <c r="A64" s="32"/>
      <c r="B64" s="13" t="s">
        <v>35</v>
      </c>
      <c r="C64" s="14">
        <v>-2940</v>
      </c>
      <c r="D64" s="14">
        <v>-2436</v>
      </c>
      <c r="E64" s="14">
        <v>-2508</v>
      </c>
      <c r="F64" s="14">
        <v>-2414</v>
      </c>
      <c r="G64" s="14">
        <f t="shared" si="24"/>
        <v>-10298</v>
      </c>
      <c r="H64" s="14">
        <f>-137+H65</f>
        <v>-2362</v>
      </c>
      <c r="I64" s="14">
        <f>-1399+I65-3107</f>
        <v>-6786</v>
      </c>
      <c r="J64" s="14">
        <f>-296+J65</f>
        <v>-2518</v>
      </c>
      <c r="K64" s="14">
        <v>-3453</v>
      </c>
      <c r="L64" s="14">
        <f t="shared" si="25"/>
        <v>-15119</v>
      </c>
    </row>
    <row r="65" spans="1:12" s="51" customFormat="1" ht="24.75" customHeight="1" x14ac:dyDescent="0.35">
      <c r="A65" s="34"/>
      <c r="B65" s="19" t="s">
        <v>34</v>
      </c>
      <c r="C65" s="22">
        <v>-2329</v>
      </c>
      <c r="D65" s="22">
        <v>-2150</v>
      </c>
      <c r="E65" s="22">
        <v>-1995</v>
      </c>
      <c r="F65" s="22">
        <v>-1875</v>
      </c>
      <c r="G65" s="22">
        <f t="shared" si="24"/>
        <v>-8349</v>
      </c>
      <c r="H65" s="20">
        <v>-2225</v>
      </c>
      <c r="I65" s="20">
        <v>-2280</v>
      </c>
      <c r="J65" s="20">
        <v>-2222</v>
      </c>
      <c r="K65" s="20">
        <v>-2184</v>
      </c>
      <c r="L65" s="20">
        <f t="shared" si="25"/>
        <v>-8911</v>
      </c>
    </row>
    <row r="66" spans="1:12" s="50" customFormat="1" ht="24.75" customHeight="1" x14ac:dyDescent="0.35">
      <c r="A66" s="32"/>
      <c r="B66" s="13" t="s">
        <v>36</v>
      </c>
      <c r="C66" s="15">
        <f t="shared" ref="C66:F66" si="26">C67+C68+C69+C70</f>
        <v>-3101.0829999999996</v>
      </c>
      <c r="D66" s="15">
        <f t="shared" si="26"/>
        <v>-2879</v>
      </c>
      <c r="E66" s="15">
        <f t="shared" si="26"/>
        <v>-3167</v>
      </c>
      <c r="F66" s="15">
        <f t="shared" si="26"/>
        <v>-2774</v>
      </c>
      <c r="G66" s="15">
        <f t="shared" si="24"/>
        <v>-11921.082999999999</v>
      </c>
      <c r="H66" s="22">
        <f>H67+H68+H69+H70</f>
        <v>-3212</v>
      </c>
      <c r="I66" s="22">
        <f>I67+I68+I69+I70</f>
        <v>-2951.2</v>
      </c>
      <c r="J66" s="22">
        <f>J67+J68+J69+J70</f>
        <v>-3084</v>
      </c>
      <c r="K66" s="22">
        <f>K67+K68+K69+K70</f>
        <v>-4303</v>
      </c>
      <c r="L66" s="22">
        <f t="shared" si="25"/>
        <v>-13550.2</v>
      </c>
    </row>
    <row r="67" spans="1:12" s="51" customFormat="1" ht="24.75" customHeight="1" x14ac:dyDescent="0.35">
      <c r="A67" s="34"/>
      <c r="B67" s="19" t="s">
        <v>37</v>
      </c>
      <c r="C67" s="22">
        <v>-205</v>
      </c>
      <c r="D67" s="22">
        <v>-43</v>
      </c>
      <c r="E67" s="22">
        <v>-233</v>
      </c>
      <c r="F67" s="22">
        <v>-47</v>
      </c>
      <c r="G67" s="22">
        <f t="shared" si="24"/>
        <v>-528</v>
      </c>
      <c r="H67" s="57">
        <v>-245</v>
      </c>
      <c r="I67" s="57">
        <v>-74</v>
      </c>
      <c r="J67" s="57">
        <v>-257</v>
      </c>
      <c r="K67" s="57">
        <v>-95</v>
      </c>
      <c r="L67" s="57">
        <f t="shared" si="25"/>
        <v>-671</v>
      </c>
    </row>
    <row r="68" spans="1:12" s="51" customFormat="1" ht="24.75" customHeight="1" x14ac:dyDescent="0.35">
      <c r="A68" s="34"/>
      <c r="B68" s="19" t="s">
        <v>38</v>
      </c>
      <c r="C68" s="57">
        <v>0.217</v>
      </c>
      <c r="D68" s="57">
        <v>0</v>
      </c>
      <c r="E68" s="57">
        <v>0</v>
      </c>
      <c r="F68" s="57">
        <v>0</v>
      </c>
      <c r="G68" s="57">
        <f t="shared" si="24"/>
        <v>0.217</v>
      </c>
      <c r="H68" s="22">
        <v>0</v>
      </c>
      <c r="I68" s="22">
        <v>0</v>
      </c>
      <c r="J68" s="22">
        <v>0</v>
      </c>
      <c r="K68" s="22">
        <v>0</v>
      </c>
      <c r="L68" s="22">
        <f t="shared" si="25"/>
        <v>0</v>
      </c>
    </row>
    <row r="69" spans="1:12" s="51" customFormat="1" ht="24.75" customHeight="1" x14ac:dyDescent="0.35">
      <c r="A69" s="34"/>
      <c r="B69" s="19" t="s">
        <v>39</v>
      </c>
      <c r="C69" s="22">
        <v>-1511</v>
      </c>
      <c r="D69" s="22">
        <v>-1475</v>
      </c>
      <c r="E69" s="22">
        <v>-1409</v>
      </c>
      <c r="F69" s="22">
        <v>-1242</v>
      </c>
      <c r="G69" s="22">
        <f t="shared" si="24"/>
        <v>-5637</v>
      </c>
      <c r="H69" s="22">
        <v>-1241</v>
      </c>
      <c r="I69" s="22">
        <v>-1156</v>
      </c>
      <c r="J69" s="22">
        <v>-1044</v>
      </c>
      <c r="K69" s="22">
        <v>-1320</v>
      </c>
      <c r="L69" s="22">
        <f t="shared" si="25"/>
        <v>-4761</v>
      </c>
    </row>
    <row r="70" spans="1:12" s="51" customFormat="1" ht="24.75" customHeight="1" x14ac:dyDescent="0.35">
      <c r="A70" s="34"/>
      <c r="B70" s="19" t="s">
        <v>40</v>
      </c>
      <c r="C70" s="22">
        <v>-1385.3</v>
      </c>
      <c r="D70" s="22">
        <v>-1361</v>
      </c>
      <c r="E70" s="22">
        <v>-1525</v>
      </c>
      <c r="F70" s="22">
        <v>-1485</v>
      </c>
      <c r="G70" s="22">
        <f t="shared" si="24"/>
        <v>-5756.3</v>
      </c>
      <c r="H70" s="22">
        <f>-98+H71</f>
        <v>-1726</v>
      </c>
      <c r="I70" s="22">
        <f>-9.2+I71</f>
        <v>-1721.2</v>
      </c>
      <c r="J70" s="22">
        <f>-105+J71</f>
        <v>-1783</v>
      </c>
      <c r="K70" s="22">
        <v>-2888</v>
      </c>
      <c r="L70" s="22">
        <f t="shared" si="25"/>
        <v>-8118.2</v>
      </c>
    </row>
    <row r="71" spans="1:12" s="51" customFormat="1" ht="24.75" customHeight="1" x14ac:dyDescent="0.35">
      <c r="A71" s="34"/>
      <c r="B71" s="19" t="s">
        <v>34</v>
      </c>
      <c r="C71" s="22">
        <v>-1287.3</v>
      </c>
      <c r="D71" s="22">
        <v>-1350</v>
      </c>
      <c r="E71" s="22">
        <v>-1427</v>
      </c>
      <c r="F71" s="22">
        <v>-1475</v>
      </c>
      <c r="G71" s="22">
        <f t="shared" si="24"/>
        <v>-5539.3</v>
      </c>
      <c r="H71" s="22">
        <v>-1628</v>
      </c>
      <c r="I71" s="22">
        <v>-1712</v>
      </c>
      <c r="J71" s="22">
        <v>-1678</v>
      </c>
      <c r="K71" s="22">
        <v>-1560</v>
      </c>
      <c r="L71" s="22">
        <f t="shared" si="25"/>
        <v>-6578</v>
      </c>
    </row>
    <row r="72" spans="1:12" s="50" customFormat="1" ht="24.75" customHeight="1" x14ac:dyDescent="0.3">
      <c r="A72" s="32" t="s">
        <v>45</v>
      </c>
      <c r="B72" s="10" t="s">
        <v>46</v>
      </c>
      <c r="C72" s="53">
        <f t="shared" ref="C72:F72" si="27">C73+C76</f>
        <v>93</v>
      </c>
      <c r="D72" s="53">
        <f t="shared" si="27"/>
        <v>607</v>
      </c>
      <c r="E72" s="53">
        <f t="shared" si="27"/>
        <v>389</v>
      </c>
      <c r="F72" s="53">
        <f t="shared" si="27"/>
        <v>1687</v>
      </c>
      <c r="G72" s="53">
        <f t="shared" si="24"/>
        <v>2776</v>
      </c>
      <c r="H72" s="11">
        <f>H73+H76</f>
        <v>470</v>
      </c>
      <c r="I72" s="11">
        <f>I73+I76</f>
        <v>423</v>
      </c>
      <c r="J72" s="11">
        <f>J73+J76</f>
        <v>1206</v>
      </c>
      <c r="K72" s="17">
        <f>K73+K76</f>
        <v>705</v>
      </c>
      <c r="L72" s="17">
        <f t="shared" si="25"/>
        <v>2804</v>
      </c>
    </row>
    <row r="73" spans="1:12" s="50" customFormat="1" ht="24.75" customHeight="1" x14ac:dyDescent="0.35">
      <c r="A73" s="32"/>
      <c r="B73" s="13" t="s">
        <v>17</v>
      </c>
      <c r="C73" s="33">
        <f t="shared" ref="C73:D73" si="28">C74+C75</f>
        <v>1521</v>
      </c>
      <c r="D73" s="33">
        <f t="shared" si="28"/>
        <v>2096</v>
      </c>
      <c r="E73" s="33">
        <f t="shared" ref="E73:K73" si="29">E74+E75</f>
        <v>1979</v>
      </c>
      <c r="F73" s="33">
        <f t="shared" si="29"/>
        <v>3140</v>
      </c>
      <c r="G73" s="33">
        <f t="shared" si="24"/>
        <v>8736</v>
      </c>
      <c r="H73" s="15">
        <f t="shared" si="29"/>
        <v>2072</v>
      </c>
      <c r="I73" s="15">
        <f t="shared" si="29"/>
        <v>2523</v>
      </c>
      <c r="J73" s="15">
        <f t="shared" si="29"/>
        <v>2927</v>
      </c>
      <c r="K73" s="15">
        <f t="shared" si="29"/>
        <v>2563</v>
      </c>
      <c r="L73" s="15">
        <f t="shared" si="25"/>
        <v>10085</v>
      </c>
    </row>
    <row r="74" spans="1:12" s="50" customFormat="1" ht="24.75" customHeight="1" x14ac:dyDescent="0.35">
      <c r="A74" s="32"/>
      <c r="B74" s="13" t="s">
        <v>47</v>
      </c>
      <c r="C74" s="15">
        <v>1439</v>
      </c>
      <c r="D74" s="15">
        <v>2005</v>
      </c>
      <c r="E74" s="15">
        <v>1737</v>
      </c>
      <c r="F74" s="15">
        <v>1891</v>
      </c>
      <c r="G74" s="15">
        <f t="shared" si="24"/>
        <v>7072</v>
      </c>
      <c r="H74" s="33">
        <v>1948</v>
      </c>
      <c r="I74" s="14">
        <v>2299</v>
      </c>
      <c r="J74" s="14">
        <v>2824</v>
      </c>
      <c r="K74" s="14">
        <v>2235</v>
      </c>
      <c r="L74" s="14">
        <f t="shared" si="25"/>
        <v>9306</v>
      </c>
    </row>
    <row r="75" spans="1:12" s="50" customFormat="1" ht="24.75" customHeight="1" x14ac:dyDescent="0.35">
      <c r="A75" s="32"/>
      <c r="B75" s="13" t="s">
        <v>48</v>
      </c>
      <c r="C75" s="33">
        <v>82</v>
      </c>
      <c r="D75" s="33">
        <v>91</v>
      </c>
      <c r="E75" s="33">
        <v>242</v>
      </c>
      <c r="F75" s="33">
        <v>1249</v>
      </c>
      <c r="G75" s="33">
        <f t="shared" si="24"/>
        <v>1664</v>
      </c>
      <c r="H75" s="33">
        <v>124</v>
      </c>
      <c r="I75" s="33">
        <v>224</v>
      </c>
      <c r="J75" s="33">
        <v>103</v>
      </c>
      <c r="K75" s="14">
        <v>328</v>
      </c>
      <c r="L75" s="14">
        <f t="shared" si="25"/>
        <v>779</v>
      </c>
    </row>
    <row r="76" spans="1:12" s="50" customFormat="1" ht="24.75" customHeight="1" x14ac:dyDescent="0.35">
      <c r="A76" s="32"/>
      <c r="B76" s="13" t="s">
        <v>28</v>
      </c>
      <c r="C76" s="33">
        <f t="shared" ref="C76:E76" si="30">C77+C78</f>
        <v>-1428</v>
      </c>
      <c r="D76" s="33">
        <f t="shared" si="30"/>
        <v>-1489</v>
      </c>
      <c r="E76" s="33">
        <f t="shared" si="30"/>
        <v>-1590</v>
      </c>
      <c r="F76" s="33">
        <f t="shared" ref="F76:K76" si="31">F77+F78</f>
        <v>-1453</v>
      </c>
      <c r="G76" s="33">
        <f t="shared" si="24"/>
        <v>-5960</v>
      </c>
      <c r="H76" s="15">
        <f t="shared" si="31"/>
        <v>-1602</v>
      </c>
      <c r="I76" s="15">
        <f t="shared" si="31"/>
        <v>-2100</v>
      </c>
      <c r="J76" s="15">
        <f t="shared" si="31"/>
        <v>-1721</v>
      </c>
      <c r="K76" s="15">
        <f t="shared" si="31"/>
        <v>-1858</v>
      </c>
      <c r="L76" s="15">
        <f t="shared" si="25"/>
        <v>-7281</v>
      </c>
    </row>
    <row r="77" spans="1:12" s="50" customFormat="1" ht="24.75" customHeight="1" x14ac:dyDescent="0.35">
      <c r="A77" s="32"/>
      <c r="B77" s="13" t="s">
        <v>47</v>
      </c>
      <c r="C77" s="15">
        <v>-1295</v>
      </c>
      <c r="D77" s="15">
        <v>-1391</v>
      </c>
      <c r="E77" s="15">
        <v>-1498</v>
      </c>
      <c r="F77" s="15">
        <v>-1367</v>
      </c>
      <c r="G77" s="15">
        <f t="shared" si="24"/>
        <v>-5551</v>
      </c>
      <c r="H77" s="33">
        <v>-1511</v>
      </c>
      <c r="I77" s="14">
        <v>-1933</v>
      </c>
      <c r="J77" s="14">
        <v>-1577</v>
      </c>
      <c r="K77" s="14">
        <v>-1759</v>
      </c>
      <c r="L77" s="14">
        <f t="shared" si="25"/>
        <v>-6780</v>
      </c>
    </row>
    <row r="78" spans="1:12" s="50" customFormat="1" ht="24.75" customHeight="1" x14ac:dyDescent="0.35">
      <c r="A78" s="32"/>
      <c r="B78" s="13" t="s">
        <v>48</v>
      </c>
      <c r="C78" s="33">
        <v>-133</v>
      </c>
      <c r="D78" s="33">
        <v>-98</v>
      </c>
      <c r="E78" s="33">
        <v>-92</v>
      </c>
      <c r="F78" s="33">
        <v>-86</v>
      </c>
      <c r="G78" s="33">
        <f t="shared" si="24"/>
        <v>-409</v>
      </c>
      <c r="H78" s="63">
        <f>-36+H79</f>
        <v>-91</v>
      </c>
      <c r="I78" s="63">
        <f>-115+I79</f>
        <v>-167</v>
      </c>
      <c r="J78" s="63">
        <f>-96+J79</f>
        <v>-144</v>
      </c>
      <c r="K78" s="15">
        <v>-99</v>
      </c>
      <c r="L78" s="15">
        <f t="shared" si="25"/>
        <v>-501</v>
      </c>
    </row>
    <row r="79" spans="1:12" s="50" customFormat="1" ht="24.75" customHeight="1" x14ac:dyDescent="0.35">
      <c r="A79" s="32"/>
      <c r="B79" s="19" t="s">
        <v>34</v>
      </c>
      <c r="C79" s="64">
        <v>-83</v>
      </c>
      <c r="D79" s="64">
        <v>-75</v>
      </c>
      <c r="E79" s="64">
        <v>-68</v>
      </c>
      <c r="F79" s="64">
        <v>-57</v>
      </c>
      <c r="G79" s="64">
        <f t="shared" si="24"/>
        <v>-283</v>
      </c>
      <c r="H79" s="64">
        <v>-55</v>
      </c>
      <c r="I79" s="64">
        <v>-52</v>
      </c>
      <c r="J79" s="64">
        <v>-48</v>
      </c>
      <c r="K79" s="20">
        <v>-44</v>
      </c>
      <c r="L79" s="20">
        <f t="shared" si="25"/>
        <v>-199</v>
      </c>
    </row>
    <row r="80" spans="1:12" s="50" customFormat="1" ht="24.75" customHeight="1" x14ac:dyDescent="0.3">
      <c r="A80" s="32" t="s">
        <v>49</v>
      </c>
      <c r="B80" s="10" t="s">
        <v>50</v>
      </c>
      <c r="C80" s="35">
        <f t="shared" ref="C80:J80" si="32">C81+C83</f>
        <v>8231.7070082114733</v>
      </c>
      <c r="D80" s="35">
        <f t="shared" si="32"/>
        <v>6114.6538045374618</v>
      </c>
      <c r="E80" s="35">
        <f t="shared" si="32"/>
        <v>12465.277880823196</v>
      </c>
      <c r="F80" s="35">
        <f t="shared" si="32"/>
        <v>6360.3369378807547</v>
      </c>
      <c r="G80" s="35">
        <f t="shared" si="24"/>
        <v>33171.975631452886</v>
      </c>
      <c r="H80" s="35">
        <f t="shared" si="32"/>
        <v>7812</v>
      </c>
      <c r="I80" s="35">
        <f t="shared" si="32"/>
        <v>4668</v>
      </c>
      <c r="J80" s="35">
        <f t="shared" si="32"/>
        <v>7871</v>
      </c>
      <c r="K80" s="53">
        <f>K81+K83</f>
        <v>14476.911280558503</v>
      </c>
      <c r="L80" s="53">
        <f>H80+I80+J80+K80</f>
        <v>34827.911280558503</v>
      </c>
    </row>
    <row r="81" spans="1:13" s="50" customFormat="1" ht="24.75" customHeight="1" x14ac:dyDescent="0.3">
      <c r="A81" s="32" t="s">
        <v>51</v>
      </c>
      <c r="B81" s="10" t="s">
        <v>52</v>
      </c>
      <c r="C81" s="35">
        <f t="shared" ref="C81:K81" si="33">C82</f>
        <v>-7</v>
      </c>
      <c r="D81" s="35">
        <f t="shared" si="33"/>
        <v>-48</v>
      </c>
      <c r="E81" s="35">
        <f t="shared" si="33"/>
        <v>-31</v>
      </c>
      <c r="F81" s="35">
        <f t="shared" si="33"/>
        <v>-37</v>
      </c>
      <c r="G81" s="35">
        <f t="shared" si="24"/>
        <v>-123</v>
      </c>
      <c r="H81" s="11">
        <f t="shared" si="33"/>
        <v>-20</v>
      </c>
      <c r="I81" s="11">
        <f t="shared" si="33"/>
        <v>-23</v>
      </c>
      <c r="J81" s="11">
        <f t="shared" si="33"/>
        <v>-52</v>
      </c>
      <c r="K81" s="17">
        <f t="shared" si="33"/>
        <v>-51</v>
      </c>
      <c r="L81" s="17">
        <f t="shared" si="25"/>
        <v>-146</v>
      </c>
    </row>
    <row r="82" spans="1:13" s="51" customFormat="1" ht="24.75" customHeight="1" x14ac:dyDescent="0.35">
      <c r="A82" s="34"/>
      <c r="B82" s="19" t="s">
        <v>53</v>
      </c>
      <c r="C82" s="57">
        <v>-7</v>
      </c>
      <c r="D82" s="57">
        <v>-48</v>
      </c>
      <c r="E82" s="57">
        <v>-31</v>
      </c>
      <c r="F82" s="57">
        <v>-37</v>
      </c>
      <c r="G82" s="57">
        <f t="shared" si="24"/>
        <v>-123</v>
      </c>
      <c r="H82" s="20">
        <v>-20</v>
      </c>
      <c r="I82" s="20">
        <v>-23</v>
      </c>
      <c r="J82" s="20">
        <v>-52</v>
      </c>
      <c r="K82" s="20">
        <v>-51</v>
      </c>
      <c r="L82" s="20">
        <f t="shared" si="25"/>
        <v>-146</v>
      </c>
    </row>
    <row r="83" spans="1:13" s="50" customFormat="1" ht="24.75" customHeight="1" x14ac:dyDescent="0.3">
      <c r="A83" s="32" t="s">
        <v>54</v>
      </c>
      <c r="B83" s="10" t="s">
        <v>55</v>
      </c>
      <c r="C83" s="53">
        <f>C84+C89+C100+C115-1</f>
        <v>8238.7070082114733</v>
      </c>
      <c r="D83" s="53">
        <f t="shared" ref="D83:J83" si="34">D84+D89+D100+D115</f>
        <v>6162.6538045374618</v>
      </c>
      <c r="E83" s="53">
        <f t="shared" si="34"/>
        <v>12496.277880823196</v>
      </c>
      <c r="F83" s="53">
        <f t="shared" si="34"/>
        <v>6397.3369378807547</v>
      </c>
      <c r="G83" s="53">
        <f t="shared" si="24"/>
        <v>33294.975631452886</v>
      </c>
      <c r="H83" s="35">
        <f t="shared" si="34"/>
        <v>7832</v>
      </c>
      <c r="I83" s="35">
        <f t="shared" si="34"/>
        <v>4691</v>
      </c>
      <c r="J83" s="35">
        <f t="shared" si="34"/>
        <v>7923</v>
      </c>
      <c r="K83" s="53">
        <f>K84+K89+K100+K115</f>
        <v>14527.911280558503</v>
      </c>
      <c r="L83" s="53">
        <f t="shared" si="25"/>
        <v>34973.911280558503</v>
      </c>
    </row>
    <row r="84" spans="1:13" s="52" customFormat="1" ht="24.75" customHeight="1" x14ac:dyDescent="0.3">
      <c r="A84" s="32"/>
      <c r="B84" s="10" t="s">
        <v>56</v>
      </c>
      <c r="C84" s="35">
        <f t="shared" ref="C84:J84" si="35">C85+C87</f>
        <v>15194</v>
      </c>
      <c r="D84" s="35">
        <f t="shared" si="35"/>
        <v>15447</v>
      </c>
      <c r="E84" s="35">
        <f t="shared" si="35"/>
        <v>20168</v>
      </c>
      <c r="F84" s="35">
        <f t="shared" si="35"/>
        <v>16404</v>
      </c>
      <c r="G84" s="35">
        <f t="shared" si="24"/>
        <v>67213</v>
      </c>
      <c r="H84" s="17">
        <f t="shared" si="35"/>
        <v>6508</v>
      </c>
      <c r="I84" s="17">
        <f t="shared" si="35"/>
        <v>34078</v>
      </c>
      <c r="J84" s="17">
        <f t="shared" si="35"/>
        <v>68966</v>
      </c>
      <c r="K84" s="17">
        <f t="shared" ref="K84" si="36">K85+K87</f>
        <v>36631.596501305874</v>
      </c>
      <c r="L84" s="17">
        <f t="shared" si="25"/>
        <v>146183.59650130587</v>
      </c>
      <c r="M84" s="50"/>
    </row>
    <row r="85" spans="1:13" s="50" customFormat="1" ht="24.75" customHeight="1" x14ac:dyDescent="0.35">
      <c r="A85" s="32"/>
      <c r="B85" s="13" t="s">
        <v>57</v>
      </c>
      <c r="C85" s="14">
        <v>-207908</v>
      </c>
      <c r="D85" s="14">
        <v>-196589</v>
      </c>
      <c r="E85" s="14">
        <v>-173785</v>
      </c>
      <c r="F85" s="14">
        <v>-191309</v>
      </c>
      <c r="G85" s="14">
        <f t="shared" si="24"/>
        <v>-769591</v>
      </c>
      <c r="H85" s="14">
        <f>-75+H86</f>
        <v>-206575</v>
      </c>
      <c r="I85" s="14">
        <f>-884+I86</f>
        <v>-187884</v>
      </c>
      <c r="J85" s="14">
        <f>-244+J86</f>
        <v>-153462</v>
      </c>
      <c r="K85" s="14">
        <f>-1578+K86</f>
        <v>-154883.28726674465</v>
      </c>
      <c r="L85" s="14">
        <f t="shared" si="25"/>
        <v>-702804.28726674465</v>
      </c>
    </row>
    <row r="86" spans="1:13" s="51" customFormat="1" ht="24.75" customHeight="1" x14ac:dyDescent="0.35">
      <c r="A86" s="34"/>
      <c r="B86" s="19" t="s">
        <v>34</v>
      </c>
      <c r="C86" s="22">
        <v>-207296</v>
      </c>
      <c r="D86" s="22">
        <v>-195523</v>
      </c>
      <c r="E86" s="22">
        <v>-172640</v>
      </c>
      <c r="F86" s="22">
        <v>-190000</v>
      </c>
      <c r="G86" s="22">
        <f t="shared" si="24"/>
        <v>-765459</v>
      </c>
      <c r="H86" s="20">
        <v>-206500</v>
      </c>
      <c r="I86" s="20">
        <v>-187000</v>
      </c>
      <c r="J86" s="20">
        <v>-153218</v>
      </c>
      <c r="K86" s="20">
        <f>[2]SFactor!$I$37-586</f>
        <v>-153305.28726674465</v>
      </c>
      <c r="L86" s="20">
        <f t="shared" si="25"/>
        <v>-700023.28726674465</v>
      </c>
      <c r="M86" s="50"/>
    </row>
    <row r="87" spans="1:13" s="50" customFormat="1" ht="24.75" customHeight="1" x14ac:dyDescent="0.35">
      <c r="A87" s="32"/>
      <c r="B87" s="13" t="s">
        <v>58</v>
      </c>
      <c r="C87" s="15">
        <v>223102</v>
      </c>
      <c r="D87" s="15">
        <v>212036</v>
      </c>
      <c r="E87" s="15">
        <v>193953</v>
      </c>
      <c r="F87" s="15">
        <v>207713</v>
      </c>
      <c r="G87" s="15">
        <f t="shared" si="24"/>
        <v>836804</v>
      </c>
      <c r="H87" s="15">
        <f>1583+H88</f>
        <v>213083</v>
      </c>
      <c r="I87" s="15">
        <f>5462+I88</f>
        <v>221962</v>
      </c>
      <c r="J87" s="15">
        <f>1787+J88</f>
        <v>222428</v>
      </c>
      <c r="K87" s="15">
        <f>3981+K88</f>
        <v>191514.88376805052</v>
      </c>
      <c r="L87" s="15">
        <f t="shared" si="25"/>
        <v>848987.88376805047</v>
      </c>
    </row>
    <row r="88" spans="1:13" s="51" customFormat="1" ht="24.75" customHeight="1" x14ac:dyDescent="0.35">
      <c r="A88" s="34"/>
      <c r="B88" s="19" t="s">
        <v>34</v>
      </c>
      <c r="C88" s="20">
        <v>220904</v>
      </c>
      <c r="D88" s="20">
        <v>210300</v>
      </c>
      <c r="E88" s="20">
        <v>192661</v>
      </c>
      <c r="F88" s="20">
        <v>205000</v>
      </c>
      <c r="G88" s="20">
        <f t="shared" si="24"/>
        <v>828865</v>
      </c>
      <c r="H88" s="20">
        <v>211500</v>
      </c>
      <c r="I88" s="20">
        <v>216500</v>
      </c>
      <c r="J88" s="20">
        <v>220641</v>
      </c>
      <c r="K88" s="20">
        <f>[2]SFactor!$I$25-1466</f>
        <v>187533.88376805052</v>
      </c>
      <c r="L88" s="20">
        <f t="shared" si="25"/>
        <v>836174.88376805047</v>
      </c>
      <c r="M88" s="50"/>
    </row>
    <row r="89" spans="1:13" s="50" customFormat="1" ht="24.75" customHeight="1" x14ac:dyDescent="0.3">
      <c r="A89" s="32"/>
      <c r="B89" s="10" t="s">
        <v>59</v>
      </c>
      <c r="C89" s="35">
        <f t="shared" ref="C89:J89" si="37">C90+C95</f>
        <v>18573</v>
      </c>
      <c r="D89" s="35">
        <f t="shared" si="37"/>
        <v>22003</v>
      </c>
      <c r="E89" s="35">
        <f t="shared" si="37"/>
        <v>9587</v>
      </c>
      <c r="F89" s="35">
        <f>F90+F95</f>
        <v>9597</v>
      </c>
      <c r="G89" s="35">
        <f t="shared" si="24"/>
        <v>59760</v>
      </c>
      <c r="H89" s="35">
        <f t="shared" si="37"/>
        <v>10709</v>
      </c>
      <c r="I89" s="35">
        <f t="shared" si="37"/>
        <v>10224</v>
      </c>
      <c r="J89" s="35">
        <f t="shared" si="37"/>
        <v>7274</v>
      </c>
      <c r="K89" s="53">
        <f t="shared" ref="K89" si="38">K90+K95</f>
        <v>6867.9171476427418</v>
      </c>
      <c r="L89" s="53">
        <f t="shared" si="25"/>
        <v>35074.917147642744</v>
      </c>
    </row>
    <row r="90" spans="1:13" s="50" customFormat="1" ht="24.75" customHeight="1" x14ac:dyDescent="0.3">
      <c r="A90" s="32"/>
      <c r="B90" s="10" t="s">
        <v>60</v>
      </c>
      <c r="C90" s="35">
        <f t="shared" ref="C90:J90" si="39">C91+C93</f>
        <v>212</v>
      </c>
      <c r="D90" s="35">
        <f t="shared" si="39"/>
        <v>-526</v>
      </c>
      <c r="E90" s="35">
        <f t="shared" si="39"/>
        <v>-3547</v>
      </c>
      <c r="F90" s="35">
        <v>-7911</v>
      </c>
      <c r="G90" s="35">
        <f t="shared" si="24"/>
        <v>-11772</v>
      </c>
      <c r="H90" s="17">
        <f t="shared" si="39"/>
        <v>-11564</v>
      </c>
      <c r="I90" s="17">
        <f t="shared" si="39"/>
        <v>-9970</v>
      </c>
      <c r="J90" s="17">
        <f t="shared" si="39"/>
        <v>-7587</v>
      </c>
      <c r="K90" s="17">
        <f t="shared" ref="K90" si="40">K91+K93</f>
        <v>-9290.5825723072903</v>
      </c>
      <c r="L90" s="17">
        <f t="shared" si="25"/>
        <v>-38411.582572307292</v>
      </c>
    </row>
    <row r="91" spans="1:13" s="50" customFormat="1" ht="24.75" customHeight="1" x14ac:dyDescent="0.35">
      <c r="A91" s="32"/>
      <c r="B91" s="13" t="s">
        <v>61</v>
      </c>
      <c r="C91" s="14">
        <v>13665</v>
      </c>
      <c r="D91" s="14">
        <v>13749</v>
      </c>
      <c r="E91" s="14">
        <v>10549</v>
      </c>
      <c r="F91" s="14">
        <v>10089</v>
      </c>
      <c r="G91" s="14">
        <f t="shared" si="24"/>
        <v>48052</v>
      </c>
      <c r="H91" s="14">
        <f>-1964+H92</f>
        <v>8236</v>
      </c>
      <c r="I91" s="14">
        <f>-1470+I92</f>
        <v>9030</v>
      </c>
      <c r="J91" s="14">
        <f>-1767+J92</f>
        <v>8113</v>
      </c>
      <c r="K91" s="14">
        <f>-3362+K92</f>
        <v>6673.8663515886146</v>
      </c>
      <c r="L91" s="14">
        <f t="shared" si="25"/>
        <v>32052.866351588615</v>
      </c>
    </row>
    <row r="92" spans="1:13" s="51" customFormat="1" ht="24.75" customHeight="1" x14ac:dyDescent="0.35">
      <c r="A92" s="34"/>
      <c r="B92" s="19" t="s">
        <v>34</v>
      </c>
      <c r="C92" s="22">
        <v>11678</v>
      </c>
      <c r="D92" s="22">
        <v>13250</v>
      </c>
      <c r="E92" s="22">
        <v>9776</v>
      </c>
      <c r="F92" s="22">
        <v>10500</v>
      </c>
      <c r="G92" s="22">
        <f t="shared" si="24"/>
        <v>45204</v>
      </c>
      <c r="H92" s="22">
        <v>10200</v>
      </c>
      <c r="I92" s="22">
        <v>10500</v>
      </c>
      <c r="J92" s="22">
        <v>9880</v>
      </c>
      <c r="K92" s="22">
        <f>[2]SFactor!$I$39</f>
        <v>10035.866351588615</v>
      </c>
      <c r="L92" s="22">
        <f t="shared" si="25"/>
        <v>40615.866351588615</v>
      </c>
    </row>
    <row r="93" spans="1:13" s="50" customFormat="1" ht="24.75" customHeight="1" x14ac:dyDescent="0.35">
      <c r="A93" s="32"/>
      <c r="B93" s="13" t="s">
        <v>62</v>
      </c>
      <c r="C93" s="14">
        <v>-13453</v>
      </c>
      <c r="D93" s="14">
        <v>-14275</v>
      </c>
      <c r="E93" s="14">
        <v>-14096</v>
      </c>
      <c r="F93" s="14">
        <v>-18000</v>
      </c>
      <c r="G93" s="14">
        <f t="shared" si="24"/>
        <v>-59824</v>
      </c>
      <c r="H93" s="14">
        <f>H94</f>
        <v>-19800</v>
      </c>
      <c r="I93" s="14">
        <f>I94</f>
        <v>-19000</v>
      </c>
      <c r="J93" s="14">
        <f>J94</f>
        <v>-15700</v>
      </c>
      <c r="K93" s="14">
        <f>K94</f>
        <v>-15964.448923895905</v>
      </c>
      <c r="L93" s="14">
        <f t="shared" si="25"/>
        <v>-70464.448923895907</v>
      </c>
    </row>
    <row r="94" spans="1:13" s="51" customFormat="1" ht="24.75" customHeight="1" x14ac:dyDescent="0.35">
      <c r="A94" s="34"/>
      <c r="B94" s="19" t="s">
        <v>34</v>
      </c>
      <c r="C94" s="22">
        <v>-13453</v>
      </c>
      <c r="D94" s="22">
        <v>-14275</v>
      </c>
      <c r="E94" s="22">
        <v>-14096</v>
      </c>
      <c r="F94" s="22">
        <v>-18000</v>
      </c>
      <c r="G94" s="22">
        <f t="shared" si="24"/>
        <v>-59824</v>
      </c>
      <c r="H94" s="22">
        <v>-19800</v>
      </c>
      <c r="I94" s="22">
        <v>-19000</v>
      </c>
      <c r="J94" s="22">
        <v>-15700</v>
      </c>
      <c r="K94" s="22">
        <f>[2]SFactor!$I$40</f>
        <v>-15964.448923895905</v>
      </c>
      <c r="L94" s="22">
        <f t="shared" si="25"/>
        <v>-70464.448923895907</v>
      </c>
    </row>
    <row r="95" spans="1:13" s="50" customFormat="1" ht="24.75" customHeight="1" x14ac:dyDescent="0.3">
      <c r="A95" s="32"/>
      <c r="B95" s="10" t="s">
        <v>63</v>
      </c>
      <c r="C95" s="35">
        <f t="shared" ref="C95:J95" si="41">C96+C98</f>
        <v>18361</v>
      </c>
      <c r="D95" s="35">
        <f t="shared" si="41"/>
        <v>22529</v>
      </c>
      <c r="E95" s="35">
        <f t="shared" si="41"/>
        <v>13134</v>
      </c>
      <c r="F95" s="35">
        <f>F96+F98</f>
        <v>17508</v>
      </c>
      <c r="G95" s="35">
        <f t="shared" si="24"/>
        <v>71532</v>
      </c>
      <c r="H95" s="17">
        <f t="shared" si="41"/>
        <v>22273</v>
      </c>
      <c r="I95" s="17">
        <f t="shared" si="41"/>
        <v>20194</v>
      </c>
      <c r="J95" s="17">
        <f t="shared" si="41"/>
        <v>14861</v>
      </c>
      <c r="K95" s="17">
        <f t="shared" ref="K95" si="42">K96+K98</f>
        <v>16158.499719950032</v>
      </c>
      <c r="L95" s="17">
        <f t="shared" si="25"/>
        <v>73486.499719950036</v>
      </c>
    </row>
    <row r="96" spans="1:13" s="50" customFormat="1" ht="24.75" customHeight="1" x14ac:dyDescent="0.35">
      <c r="A96" s="32"/>
      <c r="B96" s="13" t="s">
        <v>61</v>
      </c>
      <c r="C96" s="14">
        <v>5419</v>
      </c>
      <c r="D96" s="14">
        <v>8286</v>
      </c>
      <c r="E96" s="14">
        <v>2695</v>
      </c>
      <c r="F96" s="14">
        <f>1493+F97</f>
        <v>5293</v>
      </c>
      <c r="G96" s="14">
        <f t="shared" si="24"/>
        <v>21693</v>
      </c>
      <c r="H96" s="14">
        <f>2846+H97</f>
        <v>8446</v>
      </c>
      <c r="I96" s="14">
        <f>2536+I97</f>
        <v>7536</v>
      </c>
      <c r="J96" s="14">
        <f>1654+J97</f>
        <v>4463</v>
      </c>
      <c r="K96" s="14">
        <f>1369+K97</f>
        <v>4573.7222179534619</v>
      </c>
      <c r="L96" s="14">
        <f t="shared" si="25"/>
        <v>25018.722217953462</v>
      </c>
    </row>
    <row r="97" spans="1:12" s="51" customFormat="1" ht="24.75" customHeight="1" x14ac:dyDescent="0.35">
      <c r="A97" s="34"/>
      <c r="B97" s="19" t="s">
        <v>34</v>
      </c>
      <c r="C97" s="22">
        <v>5417</v>
      </c>
      <c r="D97" s="22">
        <v>6528</v>
      </c>
      <c r="E97" s="22">
        <v>2777</v>
      </c>
      <c r="F97" s="22">
        <v>3800</v>
      </c>
      <c r="G97" s="22">
        <f t="shared" si="24"/>
        <v>18522</v>
      </c>
      <c r="H97" s="22">
        <v>5600</v>
      </c>
      <c r="I97" s="22">
        <v>5000</v>
      </c>
      <c r="J97" s="22">
        <v>2809</v>
      </c>
      <c r="K97" s="22">
        <f>[2]SFactor!$I$27</f>
        <v>3204.7222179534615</v>
      </c>
      <c r="L97" s="22">
        <f t="shared" si="25"/>
        <v>16613.722217953462</v>
      </c>
    </row>
    <row r="98" spans="1:12" s="50" customFormat="1" ht="24.75" customHeight="1" x14ac:dyDescent="0.35">
      <c r="A98" s="32"/>
      <c r="B98" s="13" t="s">
        <v>62</v>
      </c>
      <c r="C98" s="14">
        <v>12942</v>
      </c>
      <c r="D98" s="14">
        <v>14243</v>
      </c>
      <c r="E98" s="14">
        <v>10439</v>
      </c>
      <c r="F98" s="14">
        <v>12215</v>
      </c>
      <c r="G98" s="14">
        <f t="shared" si="24"/>
        <v>49839</v>
      </c>
      <c r="H98" s="14">
        <f>H99+179+148</f>
        <v>13827</v>
      </c>
      <c r="I98" s="14">
        <f>59+I99+99</f>
        <v>12658</v>
      </c>
      <c r="J98" s="14">
        <f>-102+J99</f>
        <v>10398</v>
      </c>
      <c r="K98" s="14">
        <f>-209+K99</f>
        <v>11584.77750199657</v>
      </c>
      <c r="L98" s="14">
        <f t="shared" si="25"/>
        <v>48467.77750199657</v>
      </c>
    </row>
    <row r="99" spans="1:12" s="51" customFormat="1" ht="24.75" customHeight="1" x14ac:dyDescent="0.35">
      <c r="A99" s="34"/>
      <c r="B99" s="19" t="s">
        <v>34</v>
      </c>
      <c r="C99" s="22">
        <v>13117</v>
      </c>
      <c r="D99" s="22">
        <v>14358</v>
      </c>
      <c r="E99" s="22">
        <v>10387</v>
      </c>
      <c r="F99" s="22">
        <v>12000</v>
      </c>
      <c r="G99" s="22">
        <f t="shared" si="24"/>
        <v>49862</v>
      </c>
      <c r="H99" s="64">
        <v>13500</v>
      </c>
      <c r="I99" s="64">
        <v>12500</v>
      </c>
      <c r="J99" s="64">
        <v>10500</v>
      </c>
      <c r="K99" s="20">
        <f>[2]SFactor!$I$28</f>
        <v>11793.77750199657</v>
      </c>
      <c r="L99" s="20">
        <f t="shared" si="25"/>
        <v>48293.77750199657</v>
      </c>
    </row>
    <row r="100" spans="1:12" s="9" customFormat="1" ht="24.75" customHeight="1" x14ac:dyDescent="0.3">
      <c r="A100" s="32"/>
      <c r="B100" s="10" t="s">
        <v>64</v>
      </c>
      <c r="C100" s="35">
        <f t="shared" ref="C100:J100" si="43">C101+C108</f>
        <v>-20523.292991788527</v>
      </c>
      <c r="D100" s="35">
        <f t="shared" si="43"/>
        <v>-20641.346195462538</v>
      </c>
      <c r="E100" s="35">
        <f t="shared" si="43"/>
        <v>-20689.722119176804</v>
      </c>
      <c r="F100" s="35">
        <f t="shared" si="43"/>
        <v>-15242.663062119245</v>
      </c>
      <c r="G100" s="35">
        <f t="shared" si="24"/>
        <v>-77097.024368547107</v>
      </c>
      <c r="H100" s="35">
        <f t="shared" si="43"/>
        <v>-3295</v>
      </c>
      <c r="I100" s="35">
        <f t="shared" si="43"/>
        <v>-30692</v>
      </c>
      <c r="J100" s="35">
        <f t="shared" si="43"/>
        <v>-64923</v>
      </c>
      <c r="K100" s="53">
        <f t="shared" ref="K100" si="44">K101+K108</f>
        <v>-24355.602368390115</v>
      </c>
      <c r="L100" s="53">
        <f t="shared" si="25"/>
        <v>-123265.60236839011</v>
      </c>
    </row>
    <row r="101" spans="1:12" s="9" customFormat="1" ht="24.75" customHeight="1" x14ac:dyDescent="0.3">
      <c r="A101" s="32"/>
      <c r="B101" s="10" t="s">
        <v>65</v>
      </c>
      <c r="C101" s="35">
        <f t="shared" ref="C101:J101" si="45">C102+C103+C104+C105+C107</f>
        <v>-55520.5</v>
      </c>
      <c r="D101" s="35">
        <f t="shared" si="45"/>
        <v>-24924</v>
      </c>
      <c r="E101" s="35">
        <f t="shared" si="45"/>
        <v>-55837</v>
      </c>
      <c r="F101" s="35">
        <f t="shared" si="45"/>
        <v>96001</v>
      </c>
      <c r="G101" s="35">
        <f t="shared" si="24"/>
        <v>-40280.5</v>
      </c>
      <c r="H101" s="11">
        <f t="shared" si="45"/>
        <v>-7922</v>
      </c>
      <c r="I101" s="11">
        <f t="shared" si="45"/>
        <v>10848</v>
      </c>
      <c r="J101" s="11">
        <f t="shared" si="45"/>
        <v>-63626</v>
      </c>
      <c r="K101" s="17">
        <f t="shared" ref="K101" si="46">K102+K103+K104+K105+K107</f>
        <v>-28288.122368390115</v>
      </c>
      <c r="L101" s="17">
        <f t="shared" si="25"/>
        <v>-88988.122368390119</v>
      </c>
    </row>
    <row r="102" spans="1:12" s="9" customFormat="1" ht="24.75" customHeight="1" x14ac:dyDescent="0.35">
      <c r="A102" s="32"/>
      <c r="B102" s="13" t="s">
        <v>66</v>
      </c>
      <c r="C102" s="33">
        <v>0</v>
      </c>
      <c r="D102" s="33">
        <v>0</v>
      </c>
      <c r="E102" s="33">
        <v>0</v>
      </c>
      <c r="F102" s="33">
        <v>0</v>
      </c>
      <c r="G102" s="33">
        <f t="shared" si="24"/>
        <v>0</v>
      </c>
      <c r="H102" s="33">
        <v>0</v>
      </c>
      <c r="I102" s="33">
        <v>0</v>
      </c>
      <c r="J102" s="33">
        <v>0</v>
      </c>
      <c r="K102" s="14">
        <v>0</v>
      </c>
      <c r="L102" s="14">
        <f t="shared" si="25"/>
        <v>0</v>
      </c>
    </row>
    <row r="103" spans="1:12" s="9" customFormat="1" ht="24.75" customHeight="1" x14ac:dyDescent="0.35">
      <c r="A103" s="32"/>
      <c r="B103" s="13" t="s">
        <v>67</v>
      </c>
      <c r="C103" s="33">
        <v>0</v>
      </c>
      <c r="D103" s="33">
        <v>0</v>
      </c>
      <c r="E103" s="33">
        <v>0</v>
      </c>
      <c r="F103" s="33">
        <v>0</v>
      </c>
      <c r="G103" s="33">
        <f t="shared" si="24"/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f t="shared" si="25"/>
        <v>0</v>
      </c>
    </row>
    <row r="104" spans="1:12" s="9" customFormat="1" ht="24.75" customHeight="1" x14ac:dyDescent="0.35">
      <c r="A104" s="32"/>
      <c r="B104" s="13" t="s">
        <v>68</v>
      </c>
      <c r="C104" s="24">
        <v>-28696.3</v>
      </c>
      <c r="D104" s="24">
        <v>-4949</v>
      </c>
      <c r="E104" s="24">
        <v>-29621</v>
      </c>
      <c r="F104" s="24">
        <v>124462</v>
      </c>
      <c r="G104" s="24">
        <f t="shared" si="24"/>
        <v>61195.7</v>
      </c>
      <c r="H104" s="14">
        <v>21780</v>
      </c>
      <c r="I104" s="14">
        <v>37219</v>
      </c>
      <c r="J104" s="14">
        <v>-46051</v>
      </c>
      <c r="K104" s="14">
        <v>-20145</v>
      </c>
      <c r="L104" s="14">
        <f t="shared" si="25"/>
        <v>-7197</v>
      </c>
    </row>
    <row r="105" spans="1:12" s="9" customFormat="1" ht="24.75" customHeight="1" x14ac:dyDescent="0.35">
      <c r="A105" s="32"/>
      <c r="B105" s="13" t="s">
        <v>69</v>
      </c>
      <c r="C105" s="14">
        <v>-26626</v>
      </c>
      <c r="D105" s="14">
        <v>-20220</v>
      </c>
      <c r="E105" s="14">
        <v>-26623</v>
      </c>
      <c r="F105" s="14">
        <v>-28000</v>
      </c>
      <c r="G105" s="14">
        <f t="shared" si="24"/>
        <v>-101469</v>
      </c>
      <c r="H105" s="14">
        <f>H106</f>
        <v>-29500</v>
      </c>
      <c r="I105" s="14">
        <f>I106</f>
        <v>-26500</v>
      </c>
      <c r="J105" s="14">
        <f>J106</f>
        <v>-18269</v>
      </c>
      <c r="K105" s="14">
        <f>K106</f>
        <v>-8353.1223683901153</v>
      </c>
      <c r="L105" s="14">
        <f t="shared" si="25"/>
        <v>-82622.122368390119</v>
      </c>
    </row>
    <row r="106" spans="1:12" s="21" customFormat="1" ht="24.75" customHeight="1" x14ac:dyDescent="0.35">
      <c r="A106" s="34"/>
      <c r="B106" s="19" t="s">
        <v>34</v>
      </c>
      <c r="C106" s="22">
        <v>-26626</v>
      </c>
      <c r="D106" s="22">
        <v>-20220</v>
      </c>
      <c r="E106" s="22">
        <v>-26623</v>
      </c>
      <c r="F106" s="22">
        <v>-28000</v>
      </c>
      <c r="G106" s="22">
        <f t="shared" si="24"/>
        <v>-101469</v>
      </c>
      <c r="H106" s="57">
        <v>-29500</v>
      </c>
      <c r="I106" s="57">
        <v>-26500</v>
      </c>
      <c r="J106" s="57">
        <v>-18269</v>
      </c>
      <c r="K106" s="22">
        <f>[2]SFactor!$I$41</f>
        <v>-8353.1223683901153</v>
      </c>
      <c r="L106" s="22">
        <f t="shared" si="25"/>
        <v>-82622.122368390119</v>
      </c>
    </row>
    <row r="107" spans="1:12" s="9" customFormat="1" ht="24.75" customHeight="1" x14ac:dyDescent="0.35">
      <c r="A107" s="32"/>
      <c r="B107" s="13" t="s">
        <v>70</v>
      </c>
      <c r="C107" s="33">
        <v>-198.2</v>
      </c>
      <c r="D107" s="33">
        <v>245</v>
      </c>
      <c r="E107" s="33">
        <v>407</v>
      </c>
      <c r="F107" s="33">
        <v>-461</v>
      </c>
      <c r="G107" s="33">
        <f t="shared" si="24"/>
        <v>-7.1999999999999886</v>
      </c>
      <c r="H107" s="33">
        <v>-202</v>
      </c>
      <c r="I107" s="33">
        <v>129</v>
      </c>
      <c r="J107" s="33">
        <v>694</v>
      </c>
      <c r="K107" s="14">
        <v>210</v>
      </c>
      <c r="L107" s="14">
        <f t="shared" si="25"/>
        <v>831</v>
      </c>
    </row>
    <row r="108" spans="1:12" s="9" customFormat="1" ht="24.75" customHeight="1" x14ac:dyDescent="0.3">
      <c r="A108" s="32"/>
      <c r="B108" s="10" t="s">
        <v>63</v>
      </c>
      <c r="C108" s="35">
        <f t="shared" ref="C108:J108" si="47">C109+C110+C111+C112+C114</f>
        <v>34997.207008211473</v>
      </c>
      <c r="D108" s="35">
        <f t="shared" si="47"/>
        <v>4282.6538045374618</v>
      </c>
      <c r="E108" s="35">
        <f t="shared" si="47"/>
        <v>35147.277880823196</v>
      </c>
      <c r="F108" s="35">
        <f t="shared" si="47"/>
        <v>-111243.66306211925</v>
      </c>
      <c r="G108" s="35">
        <f t="shared" si="24"/>
        <v>-36816.524368547107</v>
      </c>
      <c r="H108" s="11">
        <f t="shared" si="47"/>
        <v>4627</v>
      </c>
      <c r="I108" s="11">
        <f t="shared" si="47"/>
        <v>-41540</v>
      </c>
      <c r="J108" s="11">
        <f t="shared" si="47"/>
        <v>-1297</v>
      </c>
      <c r="K108" s="17">
        <f t="shared" ref="K108" si="48">K109+K110+K111+K112+K114</f>
        <v>3932.52</v>
      </c>
      <c r="L108" s="17">
        <f t="shared" si="25"/>
        <v>-34277.480000000003</v>
      </c>
    </row>
    <row r="109" spans="1:12" s="9" customFormat="1" ht="24.75" customHeight="1" x14ac:dyDescent="0.35">
      <c r="A109" s="32"/>
      <c r="B109" s="13" t="s">
        <v>66</v>
      </c>
      <c r="C109" s="33">
        <v>922</v>
      </c>
      <c r="D109" s="33">
        <v>4515</v>
      </c>
      <c r="E109" s="33">
        <v>2903</v>
      </c>
      <c r="F109" s="33">
        <v>1443</v>
      </c>
      <c r="G109" s="33">
        <f t="shared" si="24"/>
        <v>9783</v>
      </c>
      <c r="H109" s="14">
        <v>1767</v>
      </c>
      <c r="I109" s="14">
        <v>2381</v>
      </c>
      <c r="J109" s="14">
        <v>-245</v>
      </c>
      <c r="K109" s="14">
        <v>-372</v>
      </c>
      <c r="L109" s="14">
        <f t="shared" si="25"/>
        <v>3531</v>
      </c>
    </row>
    <row r="110" spans="1:12" s="9" customFormat="1" ht="24.75" customHeight="1" x14ac:dyDescent="0.35">
      <c r="A110" s="32"/>
      <c r="B110" s="13" t="s">
        <v>67</v>
      </c>
      <c r="C110" s="14">
        <v>-0.79299178852400587</v>
      </c>
      <c r="D110" s="14">
        <v>-1.3461954625380059</v>
      </c>
      <c r="E110" s="14">
        <v>-4.7221191768010016</v>
      </c>
      <c r="F110" s="14">
        <v>-4.6630621192460069</v>
      </c>
      <c r="G110" s="14">
        <f t="shared" si="24"/>
        <v>-11.52436854710902</v>
      </c>
      <c r="H110" s="14">
        <v>18</v>
      </c>
      <c r="I110" s="14">
        <v>-30</v>
      </c>
      <c r="J110" s="14">
        <v>-1</v>
      </c>
      <c r="K110" s="14">
        <v>-4.4800000000000004</v>
      </c>
      <c r="L110" s="14">
        <f t="shared" si="25"/>
        <v>-17.48</v>
      </c>
    </row>
    <row r="111" spans="1:12" s="9" customFormat="1" ht="24.75" customHeight="1" x14ac:dyDescent="0.35">
      <c r="A111" s="32"/>
      <c r="B111" s="13" t="s">
        <v>68</v>
      </c>
      <c r="C111" s="14">
        <v>40217</v>
      </c>
      <c r="D111" s="14">
        <v>13867</v>
      </c>
      <c r="E111" s="14">
        <v>38160</v>
      </c>
      <c r="F111" s="14">
        <v>-106548</v>
      </c>
      <c r="G111" s="14">
        <f t="shared" si="24"/>
        <v>-14304</v>
      </c>
      <c r="H111" s="14">
        <v>9153</v>
      </c>
      <c r="I111" s="14">
        <v>-38370</v>
      </c>
      <c r="J111" s="14">
        <v>311</v>
      </c>
      <c r="K111" s="14">
        <v>1223</v>
      </c>
      <c r="L111" s="14">
        <f t="shared" si="25"/>
        <v>-27683</v>
      </c>
    </row>
    <row r="112" spans="1:12" s="9" customFormat="1" ht="24.75" customHeight="1" x14ac:dyDescent="0.35">
      <c r="A112" s="32"/>
      <c r="B112" s="13" t="s">
        <v>69</v>
      </c>
      <c r="C112" s="14">
        <v>-8531</v>
      </c>
      <c r="D112" s="14">
        <v>-14483</v>
      </c>
      <c r="E112" s="14">
        <v>-8589</v>
      </c>
      <c r="F112" s="14">
        <v>-9305</v>
      </c>
      <c r="G112" s="14">
        <f t="shared" si="24"/>
        <v>-40908</v>
      </c>
      <c r="H112" s="14">
        <f>-732+H113</f>
        <v>-9432</v>
      </c>
      <c r="I112" s="14">
        <f>943+I113</f>
        <v>-6557</v>
      </c>
      <c r="J112" s="14">
        <f>-533+J113</f>
        <v>-4668</v>
      </c>
      <c r="K112" s="14">
        <v>-484</v>
      </c>
      <c r="L112" s="14">
        <f t="shared" si="25"/>
        <v>-21141</v>
      </c>
    </row>
    <row r="113" spans="1:12" s="21" customFormat="1" ht="24.75" customHeight="1" x14ac:dyDescent="0.35">
      <c r="A113" s="34"/>
      <c r="B113" s="19" t="s">
        <v>34</v>
      </c>
      <c r="C113" s="22">
        <v>-7918</v>
      </c>
      <c r="D113" s="22">
        <v>-13540</v>
      </c>
      <c r="E113" s="22">
        <v>-7906</v>
      </c>
      <c r="F113" s="22">
        <v>-9000</v>
      </c>
      <c r="G113" s="22">
        <f t="shared" si="24"/>
        <v>-38364</v>
      </c>
      <c r="H113" s="57">
        <v>-8700</v>
      </c>
      <c r="I113" s="57">
        <v>-7500</v>
      </c>
      <c r="J113" s="57">
        <v>-4135</v>
      </c>
      <c r="K113" s="22">
        <f>[2]SFactor!$I$29</f>
        <v>-43748.227392035813</v>
      </c>
      <c r="L113" s="22">
        <f t="shared" si="25"/>
        <v>-64083.227392035813</v>
      </c>
    </row>
    <row r="114" spans="1:12" s="9" customFormat="1" ht="24.75" customHeight="1" x14ac:dyDescent="0.35">
      <c r="A114" s="32"/>
      <c r="B114" s="13" t="s">
        <v>70</v>
      </c>
      <c r="C114" s="33">
        <v>2390</v>
      </c>
      <c r="D114" s="33">
        <v>385</v>
      </c>
      <c r="E114" s="33">
        <v>2678</v>
      </c>
      <c r="F114" s="33">
        <v>3171</v>
      </c>
      <c r="G114" s="33">
        <f t="shared" si="24"/>
        <v>8624</v>
      </c>
      <c r="H114" s="33">
        <v>3121</v>
      </c>
      <c r="I114" s="33">
        <v>1036</v>
      </c>
      <c r="J114" s="33">
        <v>3306</v>
      </c>
      <c r="K114" s="14">
        <v>3570</v>
      </c>
      <c r="L114" s="14">
        <f t="shared" si="25"/>
        <v>11033</v>
      </c>
    </row>
    <row r="115" spans="1:12" s="9" customFormat="1" ht="24.75" customHeight="1" x14ac:dyDescent="0.3">
      <c r="A115" s="32"/>
      <c r="B115" s="10" t="s">
        <v>71</v>
      </c>
      <c r="C115" s="35">
        <f t="shared" ref="C115:K115" si="49">SUM(C116:C120)</f>
        <v>-5004</v>
      </c>
      <c r="D115" s="35">
        <f t="shared" si="49"/>
        <v>-10646</v>
      </c>
      <c r="E115" s="35">
        <f t="shared" si="49"/>
        <v>3431</v>
      </c>
      <c r="F115" s="35">
        <f t="shared" si="49"/>
        <v>-4361</v>
      </c>
      <c r="G115" s="35">
        <f t="shared" si="24"/>
        <v>-16580</v>
      </c>
      <c r="H115" s="35">
        <f t="shared" si="49"/>
        <v>-6090</v>
      </c>
      <c r="I115" s="35">
        <f t="shared" si="49"/>
        <v>-8919</v>
      </c>
      <c r="J115" s="35">
        <f t="shared" si="49"/>
        <v>-3394</v>
      </c>
      <c r="K115" s="53">
        <f t="shared" si="49"/>
        <v>-4616</v>
      </c>
      <c r="L115" s="53">
        <f t="shared" si="25"/>
        <v>-23019</v>
      </c>
    </row>
    <row r="116" spans="1:12" s="9" customFormat="1" ht="24.75" customHeight="1" x14ac:dyDescent="0.35">
      <c r="A116" s="32"/>
      <c r="B116" s="13" t="s">
        <v>72</v>
      </c>
      <c r="C116" s="33">
        <v>0</v>
      </c>
      <c r="D116" s="33">
        <v>0</v>
      </c>
      <c r="E116" s="33">
        <v>0</v>
      </c>
      <c r="F116" s="33">
        <v>0</v>
      </c>
      <c r="G116" s="33">
        <f t="shared" si="24"/>
        <v>0</v>
      </c>
      <c r="H116" s="33">
        <v>0</v>
      </c>
      <c r="I116" s="33">
        <v>0</v>
      </c>
      <c r="J116" s="33">
        <v>-2509</v>
      </c>
      <c r="K116" s="14">
        <v>-2391</v>
      </c>
      <c r="L116" s="14">
        <f t="shared" si="25"/>
        <v>-4900</v>
      </c>
    </row>
    <row r="117" spans="1:12" s="9" customFormat="1" ht="24.75" customHeight="1" x14ac:dyDescent="0.35">
      <c r="A117" s="32"/>
      <c r="B117" s="13" t="s">
        <v>73</v>
      </c>
      <c r="C117" s="33">
        <v>19</v>
      </c>
      <c r="D117" s="33">
        <v>1</v>
      </c>
      <c r="E117" s="33">
        <v>-3</v>
      </c>
      <c r="F117" s="33">
        <v>30</v>
      </c>
      <c r="G117" s="33">
        <f t="shared" si="24"/>
        <v>47</v>
      </c>
      <c r="H117" s="33">
        <v>-14</v>
      </c>
      <c r="I117" s="33">
        <v>-17</v>
      </c>
      <c r="J117" s="33">
        <v>7</v>
      </c>
      <c r="K117" s="14">
        <v>52</v>
      </c>
      <c r="L117" s="14">
        <f t="shared" si="25"/>
        <v>28</v>
      </c>
    </row>
    <row r="118" spans="1:12" s="9" customFormat="1" ht="24.75" customHeight="1" x14ac:dyDescent="0.35">
      <c r="A118" s="32"/>
      <c r="B118" s="13" t="s">
        <v>74</v>
      </c>
      <c r="C118" s="33">
        <v>0</v>
      </c>
      <c r="D118" s="33">
        <v>-47</v>
      </c>
      <c r="E118" s="33">
        <v>-98</v>
      </c>
      <c r="F118" s="33">
        <v>-47</v>
      </c>
      <c r="G118" s="33">
        <f t="shared" si="24"/>
        <v>-192</v>
      </c>
      <c r="H118" s="33">
        <v>-4</v>
      </c>
      <c r="I118" s="33">
        <v>-25</v>
      </c>
      <c r="J118" s="33">
        <v>-5</v>
      </c>
      <c r="K118" s="14">
        <v>0</v>
      </c>
      <c r="L118" s="14">
        <f t="shared" si="25"/>
        <v>-34</v>
      </c>
    </row>
    <row r="119" spans="1:12" s="9" customFormat="1" ht="24.75" customHeight="1" x14ac:dyDescent="0.35">
      <c r="A119" s="32"/>
      <c r="B119" s="13" t="s">
        <v>75</v>
      </c>
      <c r="C119" s="33">
        <v>-5023</v>
      </c>
      <c r="D119" s="33">
        <v>-10600</v>
      </c>
      <c r="E119" s="33">
        <v>3532</v>
      </c>
      <c r="F119" s="33">
        <v>-4344</v>
      </c>
      <c r="G119" s="33">
        <f t="shared" si="24"/>
        <v>-16435</v>
      </c>
      <c r="H119" s="33">
        <v>-6072</v>
      </c>
      <c r="I119" s="33">
        <v>-8877</v>
      </c>
      <c r="J119" s="33">
        <v>-887</v>
      </c>
      <c r="K119" s="14">
        <v>-2277</v>
      </c>
      <c r="L119" s="14">
        <f t="shared" si="25"/>
        <v>-18113</v>
      </c>
    </row>
    <row r="120" spans="1:12" s="9" customFormat="1" ht="24.75" customHeight="1" x14ac:dyDescent="0.35">
      <c r="A120" s="32"/>
      <c r="B120" s="13" t="s">
        <v>76</v>
      </c>
      <c r="C120" s="36">
        <v>0</v>
      </c>
      <c r="D120" s="36">
        <v>0</v>
      </c>
      <c r="E120" s="36">
        <v>0</v>
      </c>
      <c r="F120" s="36">
        <v>0</v>
      </c>
      <c r="G120" s="36">
        <f t="shared" si="24"/>
        <v>0</v>
      </c>
      <c r="H120" s="63">
        <v>0</v>
      </c>
      <c r="I120" s="63">
        <v>0</v>
      </c>
      <c r="J120" s="63">
        <v>0</v>
      </c>
      <c r="K120" s="15">
        <v>0</v>
      </c>
      <c r="L120" s="15">
        <f t="shared" si="25"/>
        <v>0</v>
      </c>
    </row>
    <row r="121" spans="1:12" s="9" customFormat="1" ht="24.75" customHeight="1" x14ac:dyDescent="0.3">
      <c r="A121" s="32" t="s">
        <v>77</v>
      </c>
      <c r="B121" s="10" t="s">
        <v>78</v>
      </c>
      <c r="C121" s="35">
        <f>-(C80+C7)-1</f>
        <v>-957.62400821147457</v>
      </c>
      <c r="D121" s="35">
        <f t="shared" ref="D121:J121" si="50">-(D80+D7)</f>
        <v>1438.3461954625382</v>
      </c>
      <c r="E121" s="35">
        <f t="shared" si="50"/>
        <v>-370.27788082319603</v>
      </c>
      <c r="F121" s="35">
        <f t="shared" si="50"/>
        <v>2950.6630621192453</v>
      </c>
      <c r="G121" s="35">
        <f t="shared" si="24"/>
        <v>3061.1073685471129</v>
      </c>
      <c r="H121" s="35">
        <f t="shared" si="50"/>
        <v>-1522</v>
      </c>
      <c r="I121" s="35">
        <f t="shared" si="50"/>
        <v>4308.2000000000007</v>
      </c>
      <c r="J121" s="35">
        <f t="shared" si="50"/>
        <v>3682</v>
      </c>
      <c r="K121" s="53">
        <f t="shared" ref="K121" si="51">-(K80+K7)</f>
        <v>-1670.9112805585028</v>
      </c>
      <c r="L121" s="53">
        <f t="shared" si="25"/>
        <v>4797.288719441498</v>
      </c>
    </row>
    <row r="122" spans="1:12" s="9" customFormat="1" ht="7.5" customHeight="1" thickBot="1" x14ac:dyDescent="0.4">
      <c r="A122" s="37"/>
      <c r="B122" s="38"/>
      <c r="C122" s="40"/>
      <c r="D122" s="41"/>
      <c r="E122" s="41"/>
      <c r="F122" s="42"/>
      <c r="G122" s="39"/>
      <c r="H122" s="42"/>
      <c r="I122" s="42"/>
      <c r="J122" s="42"/>
      <c r="K122" s="70"/>
      <c r="L122" s="71"/>
    </row>
    <row r="123" spans="1:12" s="5" customFormat="1" ht="24.75" customHeight="1" x14ac:dyDescent="0.3">
      <c r="A123" s="43" t="s">
        <v>87</v>
      </c>
      <c r="B123" s="44"/>
      <c r="C123" s="43"/>
      <c r="D123" s="45"/>
    </row>
    <row r="124" spans="1:12" s="5" customFormat="1" ht="20.25" x14ac:dyDescent="0.3">
      <c r="A124" s="46" t="s">
        <v>79</v>
      </c>
      <c r="D124" s="45"/>
      <c r="H124" s="66"/>
    </row>
    <row r="125" spans="1:12" ht="20.25" x14ac:dyDescent="0.3">
      <c r="A125" s="46" t="s">
        <v>80</v>
      </c>
      <c r="C125" s="65"/>
      <c r="D125" s="65"/>
      <c r="E125" s="65"/>
      <c r="F125" s="65"/>
      <c r="G125" s="65"/>
      <c r="H125" s="65"/>
      <c r="I125" s="65"/>
      <c r="J125" s="65"/>
    </row>
    <row r="126" spans="1:12" ht="23.25" x14ac:dyDescent="0.35">
      <c r="C126" s="49"/>
      <c r="D126" s="49"/>
      <c r="E126" s="49"/>
      <c r="F126" s="49"/>
      <c r="G126" s="49"/>
      <c r="H126" s="49"/>
      <c r="I126" s="49"/>
      <c r="J126" s="49"/>
    </row>
    <row r="128" spans="1:12" x14ac:dyDescent="0.3">
      <c r="C128" s="65"/>
      <c r="D128" s="65"/>
      <c r="E128" s="65"/>
      <c r="F128" s="65"/>
      <c r="G128" s="65"/>
      <c r="H128" s="65"/>
    </row>
    <row r="129" spans="3:8" x14ac:dyDescent="0.3">
      <c r="C129" s="65"/>
      <c r="D129" s="65"/>
      <c r="E129" s="65"/>
      <c r="F129" s="65"/>
      <c r="G129" s="65"/>
      <c r="H129" s="65"/>
    </row>
    <row r="132" spans="3:8" x14ac:dyDescent="0.3">
      <c r="C132" s="65"/>
      <c r="D132" s="65"/>
      <c r="E132" s="65"/>
      <c r="F132" s="65"/>
      <c r="G132" s="65"/>
      <c r="H132" s="65"/>
    </row>
    <row r="135" spans="3:8" x14ac:dyDescent="0.3">
      <c r="C135" s="65"/>
      <c r="D135" s="65"/>
      <c r="E135" s="65"/>
      <c r="F135" s="65"/>
      <c r="G135" s="65"/>
      <c r="H135" s="65"/>
    </row>
    <row r="137" spans="3:8" x14ac:dyDescent="0.3">
      <c r="C137" s="65"/>
      <c r="D137" s="65"/>
      <c r="E137" s="65"/>
      <c r="F137" s="65"/>
      <c r="G137" s="65"/>
      <c r="H137" s="65"/>
    </row>
    <row r="139" spans="3:8" x14ac:dyDescent="0.3">
      <c r="C139" s="65"/>
      <c r="D139" s="65"/>
      <c r="E139" s="65"/>
      <c r="F139" s="65"/>
      <c r="G139" s="65"/>
      <c r="H139" s="65"/>
    </row>
  </sheetData>
  <mergeCells count="13">
    <mergeCell ref="L4:L5"/>
    <mergeCell ref="L57:L58"/>
    <mergeCell ref="A57:A58"/>
    <mergeCell ref="B57:B58"/>
    <mergeCell ref="C57:F57"/>
    <mergeCell ref="G57:G58"/>
    <mergeCell ref="H57:K57"/>
    <mergeCell ref="A1:I2"/>
    <mergeCell ref="A4:A5"/>
    <mergeCell ref="B4:B5"/>
    <mergeCell ref="C4:F4"/>
    <mergeCell ref="G4:G5"/>
    <mergeCell ref="H4:K4"/>
  </mergeCells>
  <pageMargins left="0" right="0" top="0" bottom="0" header="0" footer="0"/>
  <pageSetup paperSize="9" scale="41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51</vt:lpstr>
      <vt:lpstr>'51'!Print_Area</vt:lpstr>
      <vt:lpstr>'51'!Print_Titles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M Thancanamootoo</cp:lastModifiedBy>
  <cp:lastPrinted>2015-05-07T06:59:51Z</cp:lastPrinted>
  <dcterms:created xsi:type="dcterms:W3CDTF">2014-03-10T12:40:49Z</dcterms:created>
  <dcterms:modified xsi:type="dcterms:W3CDTF">2015-05-12T06:25:46Z</dcterms:modified>
</cp:coreProperties>
</file>