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50" sheetId="1" r:id="rId1"/>
  </sheets>
  <externalReferences>
    <externalReference r:id="rId4"/>
    <externalReference r:id="rId5"/>
  </externalReferences>
  <definedNames>
    <definedName name="DATABASE">'[2]Table-1'!#REF!</definedName>
    <definedName name="_xlnm.Print_Area" localSheetId="0">'50'!$A$1:$G$125</definedName>
    <definedName name="Print_Area_MI">#REF!</definedName>
    <definedName name="_xlnm.Print_Titles" localSheetId="0">'50'!$A:$B</definedName>
  </definedNames>
  <calcPr fullCalcOnLoad="1"/>
</workbook>
</file>

<file path=xl/sharedStrings.xml><?xml version="1.0" encoding="utf-8"?>
<sst xmlns="http://schemas.openxmlformats.org/spreadsheetml/2006/main" count="137" uniqueCount="85">
  <si>
    <t>(Rs million)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</si>
  <si>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</si>
  <si>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</si>
  <si>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</si>
  <si>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</si>
  <si>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</si>
  <si>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</si>
  <si>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</si>
  <si>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</si>
  <si>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</si>
  <si>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</si>
  <si>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</si>
  <si>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</si>
  <si>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</si>
  <si>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</si>
  <si>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</si>
  <si>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</si>
  <si>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</si>
  <si>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</si>
  <si>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</si>
  <si>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</si>
  <si>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</si>
  <si>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</si>
  <si>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</si>
  <si>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</si>
  <si>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</si>
  <si>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</si>
  <si>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</si>
  <si>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</si>
  <si>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</si>
  <si>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</si>
  <si>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Portfolio Investment Income</t>
  </si>
  <si>
    <t xml:space="preserve">      Other Investment Income</t>
  </si>
  <si>
    <t xml:space="preserve">         Monetary Authorities</t>
  </si>
  <si>
    <t xml:space="preserve">         General Government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</si>
  <si>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</si>
  <si>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</si>
  <si>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</si>
  <si>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</si>
  <si>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</si>
  <si>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</si>
  <si>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</si>
  <si>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</si>
  <si>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</si>
  <si>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</si>
  <si>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</si>
  <si>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</si>
  <si>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</si>
  <si>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</si>
  <si>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</si>
  <si>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</si>
  <si>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</si>
  <si>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</si>
  <si>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</si>
  <si>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</si>
  <si>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</si>
  <si>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</si>
  <si>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</si>
  <si>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</si>
  <si>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</si>
  <si>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</si>
  <si>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</si>
  <si>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</si>
  <si>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</si>
  <si>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</si>
  <si>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</si>
  <si>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</si>
  <si>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</si>
  <si>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r>
      <t xml:space="preserve">  Financial Account </t>
    </r>
  </si>
  <si>
    <t>Continued on next page</t>
  </si>
  <si>
    <t xml:space="preserve">       Monetary Authorities</t>
  </si>
  <si>
    <t xml:space="preserve">         Banks</t>
  </si>
  <si>
    <t xml:space="preserve">         Other Sectors</t>
  </si>
  <si>
    <t>Figures may not add up to totals due to rounding.</t>
  </si>
  <si>
    <t>Source : Statistics Division.</t>
  </si>
  <si>
    <t xml:space="preserve">      o/w global business</t>
  </si>
  <si>
    <r>
      <t>2nd
Quarter</t>
    </r>
    <r>
      <rPr>
        <b/>
        <vertAlign val="superscript"/>
        <sz val="18"/>
        <rFont val="Times New Roman"/>
        <family val="1"/>
      </rPr>
      <t xml:space="preserve"> </t>
    </r>
  </si>
  <si>
    <t xml:space="preserve">1st 
Quarter </t>
  </si>
  <si>
    <t xml:space="preserve">2nd 
Quarter </t>
  </si>
  <si>
    <t xml:space="preserve">1st
Quarter </t>
  </si>
  <si>
    <r>
      <t>3rd
Quarter</t>
    </r>
    <r>
      <rPr>
        <b/>
        <vertAlign val="superscript"/>
        <sz val="18"/>
        <rFont val="Times New Roman"/>
        <family val="1"/>
      </rPr>
      <t xml:space="preserve"> </t>
    </r>
  </si>
  <si>
    <r>
      <t>4th
Quarter</t>
    </r>
    <r>
      <rPr>
        <b/>
        <vertAlign val="superscript"/>
        <sz val="18"/>
        <rFont val="Times New Roman"/>
        <family val="1"/>
      </rPr>
      <t xml:space="preserve"> </t>
    </r>
  </si>
  <si>
    <r>
      <t xml:space="preserve">2012 </t>
    </r>
    <r>
      <rPr>
        <b/>
        <vertAlign val="superscript"/>
        <sz val="18"/>
        <rFont val="Times New Roman"/>
        <family val="1"/>
      </rPr>
      <t>1</t>
    </r>
  </si>
  <si>
    <r>
      <t xml:space="preserve">1 </t>
    </r>
    <r>
      <rPr>
        <i/>
        <sz val="16"/>
        <rFont val="Times New Roman"/>
        <family val="1"/>
      </rPr>
      <t>Provisional.</t>
    </r>
  </si>
  <si>
    <t>Table 50: Balance of Payments - Calendar Year 2012
(including estimates for GBC1s cross-border transactions)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</si>
</sst>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&quot;Rs.&quot;* #,##0_);_(&quot;Rs.&quot;* \(#,##0\);_(&quot;Rs.&quot;* &quot;-&quot;_);_(@_)"/>
    <numFmt numFmtId="174" formatCode="_(&quot;Rs.&quot;* #,##0.00_);_(&quot;Rs.&quot;* \(#,##0.00\);_(&quot;Rs.&quot;* &quot;-&quot;??_);_(@_)"/>
    <numFmt numFmtId="175" formatCode="#,##0.0_);\(#,##0.0\)"/>
    <numFmt numFmtId="176" formatCode="#,##0.0"/>
    <numFmt numFmtId="177" formatCode="0.000"/>
    <numFmt numFmtId="178" formatCode="#,##0.000_);\(#,##0.000\)"/>
    <numFmt numFmtId="179" formatCode="#.##0"/>
    <numFmt numFmtId="180" formatCode="0.0000"/>
    <numFmt numFmtId="181" formatCode="0.0_);\(0.0\)"/>
    <numFmt numFmtId="182" formatCode="00"/>
    <numFmt numFmtId="183" formatCode="#,##0.000"/>
    <numFmt numFmtId="184" formatCode="_(* #,##0.0_);_(* \(#,##0.0\);_(* &quot;-&quot;??_);_(@_)"/>
    <numFmt numFmtId="185" formatCode="_(* #,##0_);_(* \(#,##0\);_(* &quot;-&quot;??_);_(@_)"/>
    <numFmt numFmtId="186" formatCode="_(* #,##0.0000_);_(* \(#,##0.0000\);_(* &quot;-&quot;????_);_(@_)"/>
    <numFmt numFmtId="187" formatCode="0.00000"/>
    <numFmt numFmtId="188" formatCode="#,##0.0000"/>
    <numFmt numFmtId="189" formatCode="m/d"/>
    <numFmt numFmtId="190" formatCode="0.000000"/>
    <numFmt numFmtId="191" formatCode="0.00000000"/>
    <numFmt numFmtId="192" formatCode="0.0000000"/>
    <numFmt numFmtId="193" formatCode="&quot;€&quot;#,##0;\-&quot;€&quot;#,##0"/>
    <numFmt numFmtId="194" formatCode="&quot;€&quot;#,##0;[Red]\-&quot;€&quot;#,##0"/>
    <numFmt numFmtId="195" formatCode="&quot;€&quot;#,##0.00;\-&quot;€&quot;#,##0.00"/>
    <numFmt numFmtId="196" formatCode="&quot;€&quot;#,##0.00;[Red]\-&quot;€&quot;#,##0.00"/>
    <numFmt numFmtId="197" formatCode="_-&quot;€&quot;* #,##0_-;\-&quot;€&quot;* #,##0_-;_-&quot;€&quot;* &quot;-&quot;_-;_-@_-"/>
    <numFmt numFmtId="198" formatCode="_-&quot;€&quot;* #,##0.00_-;\-&quot;€&quot;* #,##0.00_-;_-&quot;€&quot;* &quot;-&quot;??_-;_-@_-"/>
    <numFmt numFmtId="199" formatCode="[$£-809]#,##0.0"/>
    <numFmt numFmtId="200" formatCode="[$£-809]#,##0.00"/>
    <numFmt numFmtId="201" formatCode="mmmm\ d\,\ yyyy"/>
    <numFmt numFmtId="202" formatCode="#,##0.00000"/>
    <numFmt numFmtId="203" formatCode="\(0\)"/>
    <numFmt numFmtId="204" formatCode="0.00000E+00"/>
    <numFmt numFmtId="205" formatCode="\(0.000\)"/>
    <numFmt numFmtId="206" formatCode="0.0\ \ \ \ \ "/>
    <numFmt numFmtId="207" formatCode="#,##0.0\ "/>
    <numFmt numFmtId="208" formatCode="0.0%"/>
    <numFmt numFmtId="209" formatCode="_-* #,##0.0000_-;\-* #,##0.0000_-;_-* &quot;-&quot;??_-;_-@_-"/>
    <numFmt numFmtId="210" formatCode="_-* #,##0.0_-;\-* #,##0.0_-;_-* &quot;-&quot;??_-;_-@_-"/>
    <numFmt numFmtId="211" formatCode="_-* #,##0.0_-;\-* #,##0.0_-;_-* &quot;-&quot;?_-;_-@_-"/>
    <numFmt numFmtId="212" formatCode="_(* #,##0.000_);_(* \(#,##0.000\);_(* &quot;-&quot;???_);_(@_)"/>
    <numFmt numFmtId="213" formatCode="_(* #,##0.000_);_(* \(#,##0.000\);_(* &quot;-&quot;??_);_(@_)"/>
    <numFmt numFmtId="214" formatCode="_-* #,##0.000_-;\-* #,##0.000_-;_-* &quot;-&quot;??_-;_-@_-"/>
    <numFmt numFmtId="215" formatCode="0.000000000"/>
    <numFmt numFmtId="216" formatCode="0.0000000000"/>
    <numFmt numFmtId="217" formatCode="_-* #,##0.00000_-;\-* #,##0.00000_-;_-* &quot;-&quot;??_-;_-@_-"/>
    <numFmt numFmtId="218" formatCode="_-* #,##0.000000_-;\-* #,##0.000000_-;_-* &quot;-&quot;??_-;_-@_-"/>
    <numFmt numFmtId="219" formatCode="[$€-2]\ #,##0.0"/>
    <numFmt numFmtId="220" formatCode="[$-409]dddd\,\ mmmm\ dd\,\ yyyy"/>
    <numFmt numFmtId="221" formatCode="[$-409]mmm\-yy;@"/>
    <numFmt numFmtId="222" formatCode="mmm\-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i/>
      <sz val="9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vertAlign val="superscript"/>
      <sz val="1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  <bgColor indexed="22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0" fontId="26" fillId="24" borderId="10" xfId="57" applyFont="1" applyFill="1" applyBorder="1">
      <alignment/>
      <protection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1" fillId="24" borderId="10" xfId="57" applyFont="1" applyFill="1" applyBorder="1">
      <alignment/>
      <protection/>
    </xf>
    <xf numFmtId="0" fontId="25" fillId="24" borderId="10" xfId="57" applyFont="1" applyFill="1" applyBorder="1">
      <alignment/>
      <protection/>
    </xf>
    <xf numFmtId="0" fontId="29" fillId="0" borderId="0" xfId="0" applyFont="1" applyAlignment="1">
      <alignment/>
    </xf>
    <xf numFmtId="0" fontId="24" fillId="24" borderId="10" xfId="57" applyFont="1" applyFill="1" applyBorder="1">
      <alignment/>
      <protection/>
    </xf>
    <xf numFmtId="0" fontId="26" fillId="24" borderId="11" xfId="57" applyFont="1" applyFill="1" applyBorder="1">
      <alignment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6" fillId="24" borderId="12" xfId="57" applyFont="1" applyFill="1" applyBorder="1">
      <alignment/>
      <protection/>
    </xf>
    <xf numFmtId="0" fontId="24" fillId="24" borderId="12" xfId="57" applyFont="1" applyFill="1" applyBorder="1">
      <alignment/>
      <protection/>
    </xf>
    <xf numFmtId="3" fontId="32" fillId="0" borderId="0" xfId="0" applyNumberFormat="1" applyFont="1" applyBorder="1" applyAlignment="1">
      <alignment horizontal="right"/>
    </xf>
    <xf numFmtId="3" fontId="33" fillId="0" borderId="13" xfId="57" applyNumberFormat="1" applyFont="1" applyBorder="1" applyAlignment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3" fontId="32" fillId="0" borderId="13" xfId="0" applyNumberFormat="1" applyFont="1" applyFill="1" applyBorder="1" applyAlignment="1">
      <alignment/>
    </xf>
    <xf numFmtId="0" fontId="29" fillId="0" borderId="0" xfId="57" applyFont="1" applyAlignment="1">
      <alignment horizontal="right"/>
      <protection/>
    </xf>
    <xf numFmtId="0" fontId="28" fillId="24" borderId="14" xfId="57" applyFont="1" applyFill="1" applyBorder="1" applyAlignment="1">
      <alignment horizontal="center" vertical="top" wrapText="1"/>
      <protection/>
    </xf>
    <xf numFmtId="0" fontId="27" fillId="24" borderId="14" xfId="57" applyFont="1" applyFill="1" applyBorder="1">
      <alignment/>
      <protection/>
    </xf>
    <xf numFmtId="0" fontId="28" fillId="24" borderId="14" xfId="57" applyFont="1" applyFill="1" applyBorder="1">
      <alignment/>
      <protection/>
    </xf>
    <xf numFmtId="0" fontId="29" fillId="24" borderId="14" xfId="57" applyFont="1" applyFill="1" applyBorder="1">
      <alignment/>
      <protection/>
    </xf>
    <xf numFmtId="0" fontId="28" fillId="24" borderId="0" xfId="57" applyFont="1" applyFill="1" applyBorder="1" applyAlignment="1">
      <alignment horizontal="center" vertical="top" wrapText="1"/>
      <protection/>
    </xf>
    <xf numFmtId="0" fontId="27" fillId="24" borderId="15" xfId="57" applyFont="1" applyFill="1" applyBorder="1">
      <alignment/>
      <protection/>
    </xf>
    <xf numFmtId="0" fontId="35" fillId="0" borderId="0" xfId="0" applyFont="1" applyAlignment="1">
      <alignment/>
    </xf>
    <xf numFmtId="3" fontId="31" fillId="0" borderId="16" xfId="0" applyNumberFormat="1" applyFont="1" applyBorder="1" applyAlignment="1">
      <alignment/>
    </xf>
    <xf numFmtId="3" fontId="31" fillId="0" borderId="16" xfId="57" applyNumberFormat="1" applyFont="1" applyFill="1" applyBorder="1" applyAlignment="1">
      <alignment/>
      <protection/>
    </xf>
    <xf numFmtId="3" fontId="32" fillId="0" borderId="16" xfId="0" applyNumberFormat="1" applyFont="1" applyBorder="1" applyAlignment="1">
      <alignment/>
    </xf>
    <xf numFmtId="3" fontId="33" fillId="0" borderId="16" xfId="57" applyNumberFormat="1" applyFont="1" applyFill="1" applyBorder="1" applyAlignment="1">
      <alignment/>
      <protection/>
    </xf>
    <xf numFmtId="3" fontId="33" fillId="0" borderId="16" xfId="57" applyNumberFormat="1" applyFont="1" applyBorder="1" applyAlignment="1">
      <alignment/>
      <protection/>
    </xf>
    <xf numFmtId="0" fontId="31" fillId="0" borderId="16" xfId="0" applyFont="1" applyBorder="1" applyAlignment="1">
      <alignment/>
    </xf>
    <xf numFmtId="3" fontId="33" fillId="0" borderId="14" xfId="57" applyNumberFormat="1" applyFont="1" applyFill="1" applyBorder="1" applyAlignment="1">
      <alignment/>
      <protection/>
    </xf>
    <xf numFmtId="0" fontId="31" fillId="0" borderId="17" xfId="0" applyFont="1" applyBorder="1" applyAlignment="1">
      <alignment/>
    </xf>
    <xf numFmtId="0" fontId="33" fillId="24" borderId="18" xfId="57" applyFont="1" applyFill="1" applyBorder="1" applyAlignment="1">
      <alignment horizontal="center" vertical="center" wrapText="1"/>
      <protection/>
    </xf>
    <xf numFmtId="0" fontId="31" fillId="0" borderId="19" xfId="0" applyFont="1" applyBorder="1" applyAlignment="1">
      <alignment/>
    </xf>
    <xf numFmtId="1" fontId="36" fillId="0" borderId="0" xfId="0" applyNumberFormat="1" applyFont="1" applyAlignment="1">
      <alignment/>
    </xf>
    <xf numFmtId="0" fontId="37" fillId="0" borderId="0" xfId="57" applyFont="1">
      <alignment/>
      <protection/>
    </xf>
    <xf numFmtId="0" fontId="35" fillId="0" borderId="0" xfId="57" applyFont="1">
      <alignment/>
      <protection/>
    </xf>
    <xf numFmtId="3" fontId="32" fillId="0" borderId="16" xfId="0" applyNumberFormat="1" applyFont="1" applyFill="1" applyBorder="1" applyAlignment="1">
      <alignment/>
    </xf>
    <xf numFmtId="3" fontId="31" fillId="0" borderId="20" xfId="0" applyNumberFormat="1" applyFont="1" applyBorder="1" applyAlignment="1">
      <alignment/>
    </xf>
    <xf numFmtId="3" fontId="31" fillId="0" borderId="10" xfId="57" applyNumberFormat="1" applyFont="1" applyFill="1" applyBorder="1" applyAlignment="1">
      <alignment/>
      <protection/>
    </xf>
    <xf numFmtId="3" fontId="31" fillId="0" borderId="0" xfId="57" applyNumberFormat="1" applyFont="1" applyFill="1" applyBorder="1" applyAlignment="1">
      <alignment/>
      <protection/>
    </xf>
    <xf numFmtId="3" fontId="32" fillId="0" borderId="10" xfId="0" applyNumberFormat="1" applyFont="1" applyFill="1" applyBorder="1" applyAlignment="1">
      <alignment/>
    </xf>
    <xf numFmtId="3" fontId="31" fillId="0" borderId="16" xfId="0" applyNumberFormat="1" applyFont="1" applyFill="1" applyBorder="1" applyAlignment="1">
      <alignment/>
    </xf>
    <xf numFmtId="3" fontId="32" fillId="0" borderId="16" xfId="57" applyNumberFormat="1" applyFont="1" applyFill="1" applyBorder="1" applyAlignment="1">
      <alignment/>
      <protection/>
    </xf>
    <xf numFmtId="3" fontId="33" fillId="0" borderId="14" xfId="0" applyNumberFormat="1" applyFont="1" applyBorder="1" applyAlignment="1">
      <alignment/>
    </xf>
    <xf numFmtId="3" fontId="31" fillId="0" borderId="14" xfId="0" applyNumberFormat="1" applyFont="1" applyBorder="1" applyAlignment="1">
      <alignment/>
    </xf>
    <xf numFmtId="3" fontId="31" fillId="0" borderId="14" xfId="57" applyNumberFormat="1" applyFont="1" applyFill="1" applyBorder="1" applyAlignment="1">
      <alignment/>
      <protection/>
    </xf>
    <xf numFmtId="3" fontId="32" fillId="0" borderId="14" xfId="0" applyNumberFormat="1" applyFont="1" applyBorder="1" applyAlignment="1">
      <alignment/>
    </xf>
    <xf numFmtId="3" fontId="33" fillId="0" borderId="14" xfId="57" applyNumberFormat="1" applyFont="1" applyBorder="1" applyAlignment="1">
      <alignment/>
      <protection/>
    </xf>
    <xf numFmtId="3" fontId="31" fillId="0" borderId="14" xfId="0" applyNumberFormat="1" applyFont="1" applyFill="1" applyBorder="1" applyAlignment="1">
      <alignment/>
    </xf>
    <xf numFmtId="3" fontId="32" fillId="0" borderId="14" xfId="0" applyNumberFormat="1" applyFont="1" applyFill="1" applyBorder="1" applyAlignment="1">
      <alignment/>
    </xf>
    <xf numFmtId="0" fontId="31" fillId="0" borderId="15" xfId="0" applyFont="1" applyBorder="1" applyAlignment="1">
      <alignment/>
    </xf>
    <xf numFmtId="0" fontId="33" fillId="24" borderId="21" xfId="57" applyFont="1" applyFill="1" applyBorder="1" applyAlignment="1">
      <alignment horizontal="center" vertical="center" wrapText="1"/>
      <protection/>
    </xf>
    <xf numFmtId="3" fontId="33" fillId="0" borderId="22" xfId="57" applyNumberFormat="1" applyFont="1" applyFill="1" applyBorder="1" applyAlignment="1">
      <alignment/>
      <protection/>
    </xf>
    <xf numFmtId="3" fontId="33" fillId="0" borderId="12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3" fontId="31" fillId="0" borderId="12" xfId="57" applyNumberFormat="1" applyFont="1" applyFill="1" applyBorder="1" applyAlignment="1">
      <alignment/>
      <protection/>
    </xf>
    <xf numFmtId="3" fontId="32" fillId="0" borderId="12" xfId="0" applyNumberFormat="1" applyFont="1" applyBorder="1" applyAlignment="1">
      <alignment/>
    </xf>
    <xf numFmtId="3" fontId="32" fillId="0" borderId="12" xfId="0" applyNumberFormat="1" applyFont="1" applyFill="1" applyBorder="1" applyAlignment="1">
      <alignment/>
    </xf>
    <xf numFmtId="3" fontId="33" fillId="0" borderId="12" xfId="57" applyNumberFormat="1" applyFont="1" applyBorder="1" applyAlignment="1">
      <alignment/>
      <protection/>
    </xf>
    <xf numFmtId="3" fontId="31" fillId="0" borderId="12" xfId="0" applyNumberFormat="1" applyFont="1" applyFill="1" applyBorder="1" applyAlignment="1">
      <alignment/>
    </xf>
    <xf numFmtId="3" fontId="31" fillId="0" borderId="22" xfId="0" applyNumberFormat="1" applyFont="1" applyBorder="1" applyAlignment="1">
      <alignment/>
    </xf>
    <xf numFmtId="3" fontId="33" fillId="0" borderId="12" xfId="57" applyNumberFormat="1" applyFont="1" applyFill="1" applyBorder="1" applyAlignment="1">
      <alignment/>
      <protection/>
    </xf>
    <xf numFmtId="3" fontId="32" fillId="0" borderId="12" xfId="57" applyNumberFormat="1" applyFont="1" applyFill="1" applyBorder="1" applyAlignment="1">
      <alignment/>
      <protection/>
    </xf>
    <xf numFmtId="0" fontId="31" fillId="0" borderId="12" xfId="0" applyFont="1" applyBorder="1" applyAlignment="1">
      <alignment/>
    </xf>
    <xf numFmtId="0" fontId="33" fillId="24" borderId="23" xfId="57" applyFont="1" applyFill="1" applyBorder="1" applyAlignment="1">
      <alignment horizontal="center" vertical="center" wrapText="1"/>
      <protection/>
    </xf>
    <xf numFmtId="3" fontId="31" fillId="0" borderId="24" xfId="57" applyNumberFormat="1" applyFont="1" applyFill="1" applyBorder="1" applyAlignment="1">
      <alignment/>
      <protection/>
    </xf>
    <xf numFmtId="3" fontId="32" fillId="0" borderId="24" xfId="0" applyNumberFormat="1" applyFont="1" applyFill="1" applyBorder="1" applyAlignment="1">
      <alignment/>
    </xf>
    <xf numFmtId="3" fontId="31" fillId="0" borderId="24" xfId="0" applyNumberFormat="1" applyFont="1" applyFill="1" applyBorder="1" applyAlignment="1">
      <alignment/>
    </xf>
    <xf numFmtId="0" fontId="31" fillId="0" borderId="25" xfId="0" applyFont="1" applyBorder="1" applyAlignment="1">
      <alignment/>
    </xf>
    <xf numFmtId="3" fontId="31" fillId="0" borderId="26" xfId="0" applyNumberFormat="1" applyFont="1" applyBorder="1" applyAlignment="1">
      <alignment/>
    </xf>
    <xf numFmtId="3" fontId="32" fillId="0" borderId="24" xfId="57" applyNumberFormat="1" applyFont="1" applyFill="1" applyBorder="1" applyAlignment="1">
      <alignment/>
      <protection/>
    </xf>
    <xf numFmtId="3" fontId="33" fillId="0" borderId="24" xfId="57" applyNumberFormat="1" applyFont="1" applyFill="1" applyBorder="1" applyAlignment="1">
      <alignment/>
      <protection/>
    </xf>
    <xf numFmtId="3" fontId="31" fillId="0" borderId="12" xfId="42" applyNumberFormat="1" applyFont="1" applyFill="1" applyBorder="1" applyAlignment="1">
      <alignment/>
    </xf>
    <xf numFmtId="3" fontId="33" fillId="0" borderId="26" xfId="57" applyNumberFormat="1" applyFont="1" applyFill="1" applyBorder="1" applyAlignment="1">
      <alignment/>
      <protection/>
    </xf>
    <xf numFmtId="3" fontId="33" fillId="0" borderId="24" xfId="0" applyNumberFormat="1" applyFont="1" applyBorder="1" applyAlignment="1">
      <alignment/>
    </xf>
    <xf numFmtId="3" fontId="33" fillId="0" borderId="27" xfId="57" applyNumberFormat="1" applyFont="1" applyFill="1" applyBorder="1" applyAlignment="1">
      <alignment/>
      <protection/>
    </xf>
    <xf numFmtId="3" fontId="31" fillId="0" borderId="27" xfId="0" applyNumberFormat="1" applyFont="1" applyBorder="1" applyAlignment="1">
      <alignment/>
    </xf>
    <xf numFmtId="3" fontId="32" fillId="0" borderId="14" xfId="57" applyNumberFormat="1" applyFont="1" applyFill="1" applyBorder="1" applyAlignment="1">
      <alignment/>
      <protection/>
    </xf>
    <xf numFmtId="3" fontId="31" fillId="0" borderId="14" xfId="42" applyNumberFormat="1" applyFont="1" applyFill="1" applyBorder="1" applyAlignment="1">
      <alignment/>
    </xf>
    <xf numFmtId="0" fontId="31" fillId="0" borderId="14" xfId="0" applyFont="1" applyBorder="1" applyAlignment="1">
      <alignment/>
    </xf>
    <xf numFmtId="3" fontId="31" fillId="0" borderId="24" xfId="42" applyNumberFormat="1" applyFont="1" applyFill="1" applyBorder="1" applyAlignment="1">
      <alignment/>
    </xf>
    <xf numFmtId="176" fontId="32" fillId="0" borderId="0" xfId="0" applyNumberFormat="1" applyFont="1" applyBorder="1" applyAlignment="1">
      <alignment horizontal="right"/>
    </xf>
    <xf numFmtId="0" fontId="24" fillId="24" borderId="11" xfId="57" applyFont="1" applyFill="1" applyBorder="1">
      <alignment/>
      <protection/>
    </xf>
    <xf numFmtId="0" fontId="29" fillId="24" borderId="15" xfId="57" applyFont="1" applyFill="1" applyBorder="1">
      <alignment/>
      <protection/>
    </xf>
    <xf numFmtId="3" fontId="32" fillId="0" borderId="15" xfId="0" applyNumberFormat="1" applyFont="1" applyFill="1" applyBorder="1" applyAlignment="1">
      <alignment/>
    </xf>
    <xf numFmtId="3" fontId="32" fillId="0" borderId="17" xfId="0" applyNumberFormat="1" applyFont="1" applyFill="1" applyBorder="1" applyAlignment="1">
      <alignment/>
    </xf>
    <xf numFmtId="3" fontId="32" fillId="0" borderId="25" xfId="0" applyNumberFormat="1" applyFont="1" applyFill="1" applyBorder="1" applyAlignment="1">
      <alignment/>
    </xf>
    <xf numFmtId="3" fontId="33" fillId="0" borderId="14" xfId="0" applyNumberFormat="1" applyFont="1" applyFill="1" applyBorder="1" applyAlignment="1">
      <alignment/>
    </xf>
    <xf numFmtId="3" fontId="33" fillId="0" borderId="12" xfId="0" applyNumberFormat="1" applyFont="1" applyFill="1" applyBorder="1" applyAlignment="1">
      <alignment/>
    </xf>
    <xf numFmtId="3" fontId="33" fillId="0" borderId="24" xfId="0" applyNumberFormat="1" applyFont="1" applyFill="1" applyBorder="1" applyAlignment="1">
      <alignment/>
    </xf>
    <xf numFmtId="3" fontId="31" fillId="0" borderId="16" xfId="42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31" fillId="0" borderId="28" xfId="0" applyFont="1" applyBorder="1" applyAlignment="1">
      <alignment/>
    </xf>
    <xf numFmtId="3" fontId="28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3" fillId="0" borderId="29" xfId="57" applyNumberFormat="1" applyFont="1" applyFill="1" applyBorder="1" applyAlignment="1">
      <alignment/>
      <protection/>
    </xf>
    <xf numFmtId="3" fontId="33" fillId="0" borderId="13" xfId="0" applyNumberFormat="1" applyFont="1" applyBorder="1" applyAlignment="1">
      <alignment/>
    </xf>
    <xf numFmtId="3" fontId="31" fillId="0" borderId="13" xfId="0" applyNumberFormat="1" applyFont="1" applyFill="1" applyBorder="1" applyAlignment="1">
      <alignment/>
    </xf>
    <xf numFmtId="3" fontId="31" fillId="0" borderId="13" xfId="57" applyNumberFormat="1" applyFont="1" applyFill="1" applyBorder="1" applyAlignment="1">
      <alignment/>
      <protection/>
    </xf>
    <xf numFmtId="3" fontId="33" fillId="0" borderId="13" xfId="0" applyNumberFormat="1" applyFont="1" applyFill="1" applyBorder="1" applyAlignment="1">
      <alignment/>
    </xf>
    <xf numFmtId="3" fontId="32" fillId="0" borderId="13" xfId="57" applyNumberFormat="1" applyFont="1" applyFill="1" applyBorder="1" applyAlignment="1">
      <alignment/>
      <protection/>
    </xf>
    <xf numFmtId="3" fontId="31" fillId="0" borderId="13" xfId="42" applyNumberFormat="1" applyFont="1" applyFill="1" applyBorder="1" applyAlignment="1">
      <alignment/>
    </xf>
    <xf numFmtId="3" fontId="33" fillId="0" borderId="13" xfId="57" applyNumberFormat="1" applyFont="1" applyFill="1" applyBorder="1" applyAlignment="1">
      <alignment/>
      <protection/>
    </xf>
    <xf numFmtId="3" fontId="32" fillId="0" borderId="30" xfId="0" applyNumberFormat="1" applyFont="1" applyFill="1" applyBorder="1" applyAlignment="1">
      <alignment/>
    </xf>
    <xf numFmtId="0" fontId="27" fillId="24" borderId="31" xfId="57" applyFont="1" applyFill="1" applyBorder="1" applyAlignment="1">
      <alignment horizontal="center"/>
      <protection/>
    </xf>
    <xf numFmtId="0" fontId="27" fillId="24" borderId="32" xfId="57" applyFont="1" applyFill="1" applyBorder="1" applyAlignment="1">
      <alignment horizontal="center"/>
      <protection/>
    </xf>
    <xf numFmtId="0" fontId="26" fillId="24" borderId="33" xfId="57" applyFont="1" applyFill="1" applyBorder="1" applyAlignment="1">
      <alignment horizontal="center"/>
      <protection/>
    </xf>
    <xf numFmtId="0" fontId="26" fillId="24" borderId="21" xfId="57" applyFont="1" applyFill="1" applyBorder="1" applyAlignment="1">
      <alignment horizontal="center"/>
      <protection/>
    </xf>
    <xf numFmtId="0" fontId="33" fillId="24" borderId="34" xfId="57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38" fillId="0" borderId="0" xfId="57" applyFont="1" applyAlignment="1">
      <alignment wrapText="1"/>
      <protection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33" fillId="24" borderId="37" xfId="57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28" fillId="24" borderId="31" xfId="57" applyFont="1" applyFill="1" applyBorder="1" applyAlignment="1">
      <alignment horizontal="center" vertical="top" wrapText="1"/>
      <protection/>
    </xf>
    <xf numFmtId="0" fontId="28" fillId="24" borderId="32" xfId="57" applyFont="1" applyFill="1" applyBorder="1" applyAlignment="1">
      <alignment horizontal="center" vertical="top" wrapText="1"/>
      <protection/>
    </xf>
    <xf numFmtId="0" fontId="26" fillId="24" borderId="39" xfId="57" applyFont="1" applyFill="1" applyBorder="1" applyAlignment="1">
      <alignment horizontal="center"/>
      <protection/>
    </xf>
    <xf numFmtId="0" fontId="26" fillId="24" borderId="4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arterly BOP 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OVFINAN\ANNREPT\1999\tabII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II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view="pageBreakPreview" zoomScale="60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19" sqref="B119"/>
    </sheetView>
  </sheetViews>
  <sheetFormatPr defaultColWidth="9.140625" defaultRowHeight="12.75"/>
  <cols>
    <col min="1" max="1" width="4.8515625" style="13" customWidth="1"/>
    <col min="2" max="2" width="56.57421875" style="5" customWidth="1"/>
    <col min="3" max="6" width="22.7109375" style="18" customWidth="1"/>
    <col min="7" max="7" width="22.7109375" style="1" customWidth="1"/>
    <col min="8" max="10" width="9.140625" style="1" customWidth="1"/>
    <col min="11" max="11" width="10.57421875" style="1" bestFit="1" customWidth="1"/>
    <col min="12" max="16384" width="9.140625" style="1" customWidth="1"/>
  </cols>
  <sheetData>
    <row r="1" spans="1:7" ht="31.5" customHeight="1">
      <c r="A1" s="117" t="s">
        <v>84</v>
      </c>
      <c r="B1" s="118"/>
      <c r="C1" s="119"/>
      <c r="D1" s="119"/>
      <c r="E1" s="119"/>
      <c r="F1" s="119"/>
      <c r="G1" s="119"/>
    </row>
    <row r="2" spans="1:7" ht="30.75" customHeight="1">
      <c r="A2" s="118"/>
      <c r="B2" s="118"/>
      <c r="C2" s="119"/>
      <c r="D2" s="119"/>
      <c r="E2" s="119"/>
      <c r="F2" s="119"/>
      <c r="G2" s="119"/>
    </row>
    <row r="3" spans="1:7" ht="51" customHeight="1" thickBot="1">
      <c r="A3" s="2"/>
      <c r="B3" s="21"/>
      <c r="C3" s="87"/>
      <c r="D3" s="87"/>
      <c r="E3" s="87"/>
      <c r="F3" s="87"/>
      <c r="G3" s="16" t="s">
        <v>0</v>
      </c>
    </row>
    <row r="4" spans="1:7" s="3" customFormat="1" ht="45.75" customHeight="1">
      <c r="A4" s="124"/>
      <c r="B4" s="122"/>
      <c r="C4" s="114" t="s">
        <v>82</v>
      </c>
      <c r="D4" s="115"/>
      <c r="E4" s="115"/>
      <c r="F4" s="116"/>
      <c r="G4" s="120" t="s">
        <v>82</v>
      </c>
    </row>
    <row r="5" spans="1:7" s="3" customFormat="1" ht="79.5" customHeight="1">
      <c r="A5" s="125"/>
      <c r="B5" s="123"/>
      <c r="C5" s="57" t="s">
        <v>79</v>
      </c>
      <c r="D5" s="37" t="s">
        <v>76</v>
      </c>
      <c r="E5" s="37" t="s">
        <v>80</v>
      </c>
      <c r="F5" s="70" t="s">
        <v>81</v>
      </c>
      <c r="G5" s="121"/>
    </row>
    <row r="6" spans="1:7" s="5" customFormat="1" ht="13.5" customHeight="1">
      <c r="A6" s="4"/>
      <c r="B6" s="22"/>
      <c r="C6" s="58"/>
      <c r="D6" s="101"/>
      <c r="E6" s="81"/>
      <c r="F6" s="79"/>
      <c r="G6" s="32"/>
    </row>
    <row r="7" spans="1:7" s="6" customFormat="1" ht="27.75" customHeight="1">
      <c r="A7" s="4" t="s">
        <v>1</v>
      </c>
      <c r="B7" s="23" t="s">
        <v>2</v>
      </c>
      <c r="C7" s="59">
        <f>C8+C42+C72</f>
        <v>-4223</v>
      </c>
      <c r="D7" s="102">
        <f>D8+D42+D72</f>
        <v>-8639.199999999999</v>
      </c>
      <c r="E7" s="49">
        <f>E8+E42+E72</f>
        <v>-10984.370930207573</v>
      </c>
      <c r="F7" s="80">
        <f>F8+F42+F72</f>
        <v>-11703.193</v>
      </c>
      <c r="G7" s="80">
        <f>C7+D7+E7+F7</f>
        <v>-35549.76393020757</v>
      </c>
    </row>
    <row r="8" spans="1:7" s="6" customFormat="1" ht="27.75" customHeight="1">
      <c r="A8" s="4" t="s">
        <v>3</v>
      </c>
      <c r="B8" s="23" t="s">
        <v>4</v>
      </c>
      <c r="C8" s="59">
        <f>C9+C19</f>
        <v>-7562</v>
      </c>
      <c r="D8" s="102">
        <f>D9+D19</f>
        <v>-10643</v>
      </c>
      <c r="E8" s="49">
        <f>E9+E19</f>
        <v>-12674.370930207573</v>
      </c>
      <c r="F8" s="80">
        <f>F9+F19</f>
        <v>-13233</v>
      </c>
      <c r="G8" s="80">
        <f aca="true" t="shared" si="0" ref="G8:G54">C8+D8+E8+F8</f>
        <v>-44112.37093020757</v>
      </c>
    </row>
    <row r="9" spans="1:7" s="6" customFormat="1" ht="27.75" customHeight="1">
      <c r="A9" s="4"/>
      <c r="B9" s="23" t="s">
        <v>5</v>
      </c>
      <c r="C9" s="59">
        <f>C10+C11</f>
        <v>-17194</v>
      </c>
      <c r="D9" s="102">
        <f>D10+D11</f>
        <v>-18095</v>
      </c>
      <c r="E9" s="49">
        <f>E10+E11</f>
        <v>-17157</v>
      </c>
      <c r="F9" s="80">
        <f>F10+F11</f>
        <v>-20652</v>
      </c>
      <c r="G9" s="80">
        <f t="shared" si="0"/>
        <v>-73098</v>
      </c>
    </row>
    <row r="10" spans="1:7" s="5" customFormat="1" ht="27.75" customHeight="1">
      <c r="A10" s="4"/>
      <c r="B10" s="24" t="s">
        <v>6</v>
      </c>
      <c r="C10" s="65">
        <f>C13+C16</f>
        <v>18402</v>
      </c>
      <c r="D10" s="103">
        <f aca="true" t="shared" si="1" ref="C10:E11">D13+D16</f>
        <v>20434</v>
      </c>
      <c r="E10" s="54">
        <f t="shared" si="1"/>
        <v>19751</v>
      </c>
      <c r="F10" s="73">
        <f>F13+F16</f>
        <v>21772</v>
      </c>
      <c r="G10" s="73">
        <f t="shared" si="0"/>
        <v>80359</v>
      </c>
    </row>
    <row r="11" spans="1:7" s="5" customFormat="1" ht="27.75" customHeight="1">
      <c r="A11" s="4"/>
      <c r="B11" s="24" t="s">
        <v>7</v>
      </c>
      <c r="C11" s="61">
        <f t="shared" si="1"/>
        <v>-35596</v>
      </c>
      <c r="D11" s="104">
        <f t="shared" si="1"/>
        <v>-38529</v>
      </c>
      <c r="E11" s="51">
        <f t="shared" si="1"/>
        <v>-36908</v>
      </c>
      <c r="F11" s="71">
        <f>F14+F17</f>
        <v>-42424</v>
      </c>
      <c r="G11" s="71">
        <f t="shared" si="0"/>
        <v>-153457</v>
      </c>
    </row>
    <row r="12" spans="1:7" s="5" customFormat="1" ht="27.75" customHeight="1">
      <c r="A12" s="4"/>
      <c r="B12" s="24" t="s">
        <v>8</v>
      </c>
      <c r="C12" s="65">
        <f>C13+C14</f>
        <v>-18725</v>
      </c>
      <c r="D12" s="103">
        <f>D13+D14</f>
        <v>-20672</v>
      </c>
      <c r="E12" s="54">
        <f>E13+E14</f>
        <v>-18882</v>
      </c>
      <c r="F12" s="73">
        <f>F13+F14</f>
        <v>-23434</v>
      </c>
      <c r="G12" s="73">
        <f t="shared" si="0"/>
        <v>-81713</v>
      </c>
    </row>
    <row r="13" spans="1:7" s="5" customFormat="1" ht="27.75" customHeight="1">
      <c r="A13" s="4"/>
      <c r="B13" s="24" t="s">
        <v>9</v>
      </c>
      <c r="C13" s="65">
        <v>15690</v>
      </c>
      <c r="D13" s="103">
        <v>16928</v>
      </c>
      <c r="E13" s="54">
        <v>17264</v>
      </c>
      <c r="F13" s="73">
        <v>18190</v>
      </c>
      <c r="G13" s="73">
        <f t="shared" si="0"/>
        <v>68072</v>
      </c>
    </row>
    <row r="14" spans="1:7" s="5" customFormat="1" ht="27.75" customHeight="1">
      <c r="A14" s="4"/>
      <c r="B14" s="24" t="s">
        <v>10</v>
      </c>
      <c r="C14" s="65">
        <v>-34415</v>
      </c>
      <c r="D14" s="103">
        <v>-37600</v>
      </c>
      <c r="E14" s="54">
        <v>-36146</v>
      </c>
      <c r="F14" s="73">
        <v>-41624</v>
      </c>
      <c r="G14" s="73">
        <f t="shared" si="0"/>
        <v>-149785</v>
      </c>
    </row>
    <row r="15" spans="1:7" s="5" customFormat="1" ht="27.75" customHeight="1">
      <c r="A15" s="7"/>
      <c r="B15" s="24" t="s">
        <v>11</v>
      </c>
      <c r="C15" s="61">
        <f>C16+C17</f>
        <v>1531</v>
      </c>
      <c r="D15" s="104">
        <f>D16+D17</f>
        <v>2577</v>
      </c>
      <c r="E15" s="51">
        <f>E16+E17</f>
        <v>1725</v>
      </c>
      <c r="F15" s="71">
        <f>F16+F17</f>
        <v>2782</v>
      </c>
      <c r="G15" s="71">
        <f t="shared" si="0"/>
        <v>8615</v>
      </c>
    </row>
    <row r="16" spans="1:7" s="5" customFormat="1" ht="27.75" customHeight="1">
      <c r="A16" s="4"/>
      <c r="B16" s="24" t="s">
        <v>9</v>
      </c>
      <c r="C16" s="65">
        <v>2712</v>
      </c>
      <c r="D16" s="103">
        <v>3506</v>
      </c>
      <c r="E16" s="54">
        <v>2487</v>
      </c>
      <c r="F16" s="73">
        <v>3582</v>
      </c>
      <c r="G16" s="73">
        <f t="shared" si="0"/>
        <v>12287</v>
      </c>
    </row>
    <row r="17" spans="1:7" s="5" customFormat="1" ht="27.75" customHeight="1">
      <c r="A17" s="4"/>
      <c r="B17" s="24" t="s">
        <v>10</v>
      </c>
      <c r="C17" s="61">
        <v>-1181</v>
      </c>
      <c r="D17" s="104">
        <v>-929</v>
      </c>
      <c r="E17" s="51">
        <v>-762</v>
      </c>
      <c r="F17" s="71">
        <v>-800</v>
      </c>
      <c r="G17" s="71">
        <f t="shared" si="0"/>
        <v>-3672</v>
      </c>
    </row>
    <row r="18" spans="1:7" s="5" customFormat="1" ht="27.75" customHeight="1">
      <c r="A18" s="4"/>
      <c r="B18" s="24" t="s">
        <v>12</v>
      </c>
      <c r="C18" s="65">
        <v>-110</v>
      </c>
      <c r="D18" s="103">
        <v>-139</v>
      </c>
      <c r="E18" s="54">
        <v>-128</v>
      </c>
      <c r="F18" s="73">
        <v>-359</v>
      </c>
      <c r="G18" s="73">
        <f t="shared" si="0"/>
        <v>-736</v>
      </c>
    </row>
    <row r="19" spans="1:7" s="6" customFormat="1" ht="27.75" customHeight="1">
      <c r="A19" s="4"/>
      <c r="B19" s="23" t="s">
        <v>13</v>
      </c>
      <c r="C19" s="94">
        <f>C20+C31</f>
        <v>9632</v>
      </c>
      <c r="D19" s="105">
        <f>D20+D31</f>
        <v>7452</v>
      </c>
      <c r="E19" s="93">
        <f>E20+E31</f>
        <v>4482.629069792427</v>
      </c>
      <c r="F19" s="95">
        <f>F20+F31</f>
        <v>7419</v>
      </c>
      <c r="G19" s="95">
        <f t="shared" si="0"/>
        <v>28985.629069792427</v>
      </c>
    </row>
    <row r="20" spans="1:7" s="5" customFormat="1" ht="27.75" customHeight="1">
      <c r="A20" s="4"/>
      <c r="B20" s="24" t="s">
        <v>14</v>
      </c>
      <c r="C20" s="61">
        <f>C21+C25+C28</f>
        <v>27831</v>
      </c>
      <c r="D20" s="104">
        <f>D21+D25+D28</f>
        <v>26376</v>
      </c>
      <c r="E20" s="51">
        <f>E21+E25+E28</f>
        <v>21589.629069792427</v>
      </c>
      <c r="F20" s="71">
        <f>F21+F25+F28</f>
        <v>26416</v>
      </c>
      <c r="G20" s="71">
        <f t="shared" si="0"/>
        <v>102212.62906979243</v>
      </c>
    </row>
    <row r="21" spans="1:7" s="5" customFormat="1" ht="27.75" customHeight="1">
      <c r="A21" s="4"/>
      <c r="B21" s="24" t="s">
        <v>15</v>
      </c>
      <c r="C21" s="65">
        <f>C22+C23+C24</f>
        <v>3103</v>
      </c>
      <c r="D21" s="103">
        <v>2930</v>
      </c>
      <c r="E21" s="54">
        <f>E22+E23+E24</f>
        <v>2499</v>
      </c>
      <c r="F21" s="73">
        <f>F22+F23+F24</f>
        <v>3035</v>
      </c>
      <c r="G21" s="73">
        <f t="shared" si="0"/>
        <v>11567</v>
      </c>
    </row>
    <row r="22" spans="1:7" s="9" customFormat="1" ht="27.75" customHeight="1">
      <c r="A22" s="8"/>
      <c r="B22" s="25" t="s">
        <v>16</v>
      </c>
      <c r="C22" s="68">
        <v>2402</v>
      </c>
      <c r="D22" s="106">
        <v>2277</v>
      </c>
      <c r="E22" s="83">
        <v>1875</v>
      </c>
      <c r="F22" s="76">
        <v>2379</v>
      </c>
      <c r="G22" s="76">
        <f t="shared" si="0"/>
        <v>8933</v>
      </c>
    </row>
    <row r="23" spans="1:7" s="9" customFormat="1" ht="27.75" customHeight="1">
      <c r="A23" s="8"/>
      <c r="B23" s="25" t="s">
        <v>17</v>
      </c>
      <c r="C23" s="68">
        <v>151</v>
      </c>
      <c r="D23" s="106">
        <v>144</v>
      </c>
      <c r="E23" s="83">
        <v>149</v>
      </c>
      <c r="F23" s="76">
        <v>183</v>
      </c>
      <c r="G23" s="76">
        <f t="shared" si="0"/>
        <v>627</v>
      </c>
    </row>
    <row r="24" spans="1:7" s="9" customFormat="1" ht="27.75" customHeight="1">
      <c r="A24" s="8"/>
      <c r="B24" s="25" t="s">
        <v>18</v>
      </c>
      <c r="C24" s="46">
        <v>550</v>
      </c>
      <c r="D24" s="20">
        <f>D21-D22-D23</f>
        <v>509</v>
      </c>
      <c r="E24" s="55">
        <v>475</v>
      </c>
      <c r="F24" s="72">
        <v>473</v>
      </c>
      <c r="G24" s="72">
        <f t="shared" si="0"/>
        <v>2007</v>
      </c>
    </row>
    <row r="25" spans="1:7" s="5" customFormat="1" ht="27.75" customHeight="1">
      <c r="A25" s="7"/>
      <c r="B25" s="24" t="s">
        <v>19</v>
      </c>
      <c r="C25" s="61">
        <f>C26+C27</f>
        <v>13768</v>
      </c>
      <c r="D25" s="104">
        <f>D26+D27</f>
        <v>9780</v>
      </c>
      <c r="E25" s="51">
        <f>E26+E27</f>
        <v>8405.629069792429</v>
      </c>
      <c r="F25" s="71">
        <f>F26+F27</f>
        <v>12424</v>
      </c>
      <c r="G25" s="71">
        <f t="shared" si="0"/>
        <v>44377.62906979243</v>
      </c>
    </row>
    <row r="26" spans="1:7" s="9" customFormat="1" ht="27.75" customHeight="1">
      <c r="A26" s="8"/>
      <c r="B26" s="25" t="s">
        <v>20</v>
      </c>
      <c r="C26" s="68">
        <v>5079</v>
      </c>
      <c r="D26" s="106">
        <v>3644</v>
      </c>
      <c r="E26" s="83">
        <v>2612.696299937968</v>
      </c>
      <c r="F26" s="76">
        <v>4240</v>
      </c>
      <c r="G26" s="76">
        <f t="shared" si="0"/>
        <v>15575.696299937968</v>
      </c>
    </row>
    <row r="27" spans="1:7" s="9" customFormat="1" ht="27.75" customHeight="1">
      <c r="A27" s="10"/>
      <c r="B27" s="25" t="s">
        <v>21</v>
      </c>
      <c r="C27" s="63">
        <v>8689</v>
      </c>
      <c r="D27" s="20">
        <v>6136</v>
      </c>
      <c r="E27" s="55">
        <v>5792.93276985446</v>
      </c>
      <c r="F27" s="72">
        <v>8184</v>
      </c>
      <c r="G27" s="72">
        <f t="shared" si="0"/>
        <v>28801.93276985446</v>
      </c>
    </row>
    <row r="28" spans="1:7" s="5" customFormat="1" ht="27.75" customHeight="1">
      <c r="A28" s="4"/>
      <c r="B28" s="24" t="s">
        <v>22</v>
      </c>
      <c r="C28" s="61">
        <f>C29+C30</f>
        <v>10960</v>
      </c>
      <c r="D28" s="104">
        <f>D29+D30</f>
        <v>13666</v>
      </c>
      <c r="E28" s="51">
        <f>E29+E30</f>
        <v>10685</v>
      </c>
      <c r="F28" s="71">
        <f>F29+F30</f>
        <v>10957</v>
      </c>
      <c r="G28" s="71">
        <f t="shared" si="0"/>
        <v>46268</v>
      </c>
    </row>
    <row r="29" spans="1:7" s="9" customFormat="1" ht="27.75" customHeight="1">
      <c r="A29" s="8"/>
      <c r="B29" s="25" t="s">
        <v>23</v>
      </c>
      <c r="C29" s="68">
        <v>10793</v>
      </c>
      <c r="D29" s="106">
        <v>13436</v>
      </c>
      <c r="E29" s="83">
        <v>10257</v>
      </c>
      <c r="F29" s="76">
        <v>10453</v>
      </c>
      <c r="G29" s="76">
        <f t="shared" si="0"/>
        <v>44939</v>
      </c>
    </row>
    <row r="30" spans="1:7" s="9" customFormat="1" ht="27.75" customHeight="1">
      <c r="A30" s="8"/>
      <c r="B30" s="25" t="s">
        <v>24</v>
      </c>
      <c r="C30" s="68">
        <v>167</v>
      </c>
      <c r="D30" s="106">
        <v>230</v>
      </c>
      <c r="E30" s="83">
        <v>428</v>
      </c>
      <c r="F30" s="76">
        <v>504</v>
      </c>
      <c r="G30" s="76">
        <f t="shared" si="0"/>
        <v>1329</v>
      </c>
    </row>
    <row r="31" spans="1:7" s="5" customFormat="1" ht="27.75" customHeight="1">
      <c r="A31" s="4"/>
      <c r="B31" s="24" t="s">
        <v>25</v>
      </c>
      <c r="C31" s="65">
        <f>C32+C36+C39</f>
        <v>-18199</v>
      </c>
      <c r="D31" s="103">
        <f>D32+D36+D39</f>
        <v>-18924</v>
      </c>
      <c r="E31" s="54">
        <f>E32+E36+E39</f>
        <v>-17107</v>
      </c>
      <c r="F31" s="73">
        <f>F32+F36+F39</f>
        <v>-18997</v>
      </c>
      <c r="G31" s="73">
        <f t="shared" si="0"/>
        <v>-73227</v>
      </c>
    </row>
    <row r="32" spans="1:7" s="5" customFormat="1" ht="27.75" customHeight="1">
      <c r="A32" s="4"/>
      <c r="B32" s="24" t="s">
        <v>15</v>
      </c>
      <c r="C32" s="65">
        <f>C33+C34+C35</f>
        <v>-4342</v>
      </c>
      <c r="D32" s="103">
        <f>D33+D34+D35</f>
        <v>-4156</v>
      </c>
      <c r="E32" s="54">
        <f>E33+E34+E35</f>
        <v>-4409</v>
      </c>
      <c r="F32" s="73">
        <f>F33+F34+F35</f>
        <v>-4977</v>
      </c>
      <c r="G32" s="73">
        <f t="shared" si="0"/>
        <v>-17884</v>
      </c>
    </row>
    <row r="33" spans="1:7" s="9" customFormat="1" ht="27.75" customHeight="1">
      <c r="A33" s="8"/>
      <c r="B33" s="25" t="s">
        <v>16</v>
      </c>
      <c r="C33" s="68">
        <v>-175</v>
      </c>
      <c r="D33" s="106">
        <v>-229</v>
      </c>
      <c r="E33" s="83">
        <v>-225</v>
      </c>
      <c r="F33" s="76">
        <v>-203</v>
      </c>
      <c r="G33" s="76">
        <f t="shared" si="0"/>
        <v>-832</v>
      </c>
    </row>
    <row r="34" spans="1:7" s="9" customFormat="1" ht="27.75" customHeight="1">
      <c r="A34" s="8"/>
      <c r="B34" s="25" t="s">
        <v>17</v>
      </c>
      <c r="C34" s="63">
        <v>-2215</v>
      </c>
      <c r="D34" s="20">
        <v>-2396</v>
      </c>
      <c r="E34" s="55">
        <v>-2422</v>
      </c>
      <c r="F34" s="72">
        <v>-2734</v>
      </c>
      <c r="G34" s="72">
        <f t="shared" si="0"/>
        <v>-9767</v>
      </c>
    </row>
    <row r="35" spans="1:7" s="9" customFormat="1" ht="27.75" customHeight="1">
      <c r="A35" s="8"/>
      <c r="B35" s="25" t="s">
        <v>18</v>
      </c>
      <c r="C35" s="46">
        <v>-1952</v>
      </c>
      <c r="D35" s="20">
        <v>-1531</v>
      </c>
      <c r="E35" s="55">
        <v>-1762</v>
      </c>
      <c r="F35" s="72">
        <v>-2040</v>
      </c>
      <c r="G35" s="72">
        <f t="shared" si="0"/>
        <v>-7285</v>
      </c>
    </row>
    <row r="36" spans="1:7" s="5" customFormat="1" ht="27.75" customHeight="1">
      <c r="A36" s="7"/>
      <c r="B36" s="24" t="s">
        <v>19</v>
      </c>
      <c r="C36" s="61">
        <f>C37+C38</f>
        <v>-2575</v>
      </c>
      <c r="D36" s="104">
        <f>D37+D38</f>
        <v>-2632</v>
      </c>
      <c r="E36" s="51">
        <f>E37+E38</f>
        <v>-2979</v>
      </c>
      <c r="F36" s="71">
        <f>F37+F38</f>
        <v>-2810</v>
      </c>
      <c r="G36" s="71">
        <f t="shared" si="0"/>
        <v>-10996</v>
      </c>
    </row>
    <row r="37" spans="1:7" s="9" customFormat="1" ht="27.75" customHeight="1">
      <c r="A37" s="8"/>
      <c r="B37" s="25" t="s">
        <v>20</v>
      </c>
      <c r="C37" s="68">
        <v>-113</v>
      </c>
      <c r="D37" s="106">
        <v>-193</v>
      </c>
      <c r="E37" s="83">
        <v>-110</v>
      </c>
      <c r="F37" s="76">
        <v>-236</v>
      </c>
      <c r="G37" s="76">
        <f t="shared" si="0"/>
        <v>-652</v>
      </c>
    </row>
    <row r="38" spans="1:7" s="9" customFormat="1" ht="27.75" customHeight="1">
      <c r="A38" s="10"/>
      <c r="B38" s="25" t="s">
        <v>21</v>
      </c>
      <c r="C38" s="63">
        <v>-2462</v>
      </c>
      <c r="D38" s="20">
        <v>-2439</v>
      </c>
      <c r="E38" s="55">
        <v>-2869</v>
      </c>
      <c r="F38" s="72">
        <v>-2574</v>
      </c>
      <c r="G38" s="72">
        <f t="shared" si="0"/>
        <v>-10344</v>
      </c>
    </row>
    <row r="39" spans="1:7" s="5" customFormat="1" ht="27.75" customHeight="1">
      <c r="A39" s="4"/>
      <c r="B39" s="24" t="s">
        <v>22</v>
      </c>
      <c r="C39" s="78">
        <f>C40+C41</f>
        <v>-11282</v>
      </c>
      <c r="D39" s="107">
        <f>D40+D41</f>
        <v>-12136</v>
      </c>
      <c r="E39" s="84">
        <f>E40+E41</f>
        <v>-9719</v>
      </c>
      <c r="F39" s="86">
        <f>F40+F41</f>
        <v>-11210</v>
      </c>
      <c r="G39" s="86">
        <f t="shared" si="0"/>
        <v>-44347</v>
      </c>
    </row>
    <row r="40" spans="1:7" s="9" customFormat="1" ht="27.75" customHeight="1">
      <c r="A40" s="10"/>
      <c r="B40" s="25" t="s">
        <v>23</v>
      </c>
      <c r="C40" s="63">
        <v>-10889</v>
      </c>
      <c r="D40" s="20">
        <v>-11830</v>
      </c>
      <c r="E40" s="55">
        <v>-9240</v>
      </c>
      <c r="F40" s="72">
        <v>-10524</v>
      </c>
      <c r="G40" s="72">
        <f t="shared" si="0"/>
        <v>-42483</v>
      </c>
    </row>
    <row r="41" spans="1:7" s="9" customFormat="1" ht="27.75" customHeight="1">
      <c r="A41" s="10"/>
      <c r="B41" s="25" t="s">
        <v>24</v>
      </c>
      <c r="C41" s="63">
        <v>-393</v>
      </c>
      <c r="D41" s="20">
        <v>-306</v>
      </c>
      <c r="E41" s="55">
        <v>-479</v>
      </c>
      <c r="F41" s="72">
        <v>-686</v>
      </c>
      <c r="G41" s="72">
        <f t="shared" si="0"/>
        <v>-1864</v>
      </c>
    </row>
    <row r="42" spans="1:7" s="5" customFormat="1" ht="27.75" customHeight="1">
      <c r="A42" s="4" t="s">
        <v>26</v>
      </c>
      <c r="B42" s="23" t="s">
        <v>27</v>
      </c>
      <c r="C42" s="67">
        <f>C43+C60</f>
        <v>1762</v>
      </c>
      <c r="D42" s="108">
        <f>D43+D60</f>
        <v>1455.800000000001</v>
      </c>
      <c r="E42" s="35">
        <f>E43+E60</f>
        <v>1646</v>
      </c>
      <c r="F42" s="77">
        <f>F43+F60</f>
        <v>-560.893</v>
      </c>
      <c r="G42" s="77">
        <f t="shared" si="0"/>
        <v>4302.907000000001</v>
      </c>
    </row>
    <row r="43" spans="1:7" s="5" customFormat="1" ht="27.75" customHeight="1">
      <c r="A43" s="4"/>
      <c r="B43" s="24" t="s">
        <v>28</v>
      </c>
      <c r="C43" s="65">
        <f>C44+C45+C47+C49</f>
        <v>10883</v>
      </c>
      <c r="D43" s="103">
        <f>D44+D45+D47+D49</f>
        <v>12435.6</v>
      </c>
      <c r="E43" s="54">
        <f>E44+E45+E47+E49</f>
        <v>12082</v>
      </c>
      <c r="F43" s="73">
        <f>F44+F45+F47+F49</f>
        <v>10902.8</v>
      </c>
      <c r="G43" s="73">
        <f t="shared" si="0"/>
        <v>46303.399999999994</v>
      </c>
    </row>
    <row r="44" spans="1:7" s="5" customFormat="1" ht="27.75" customHeight="1">
      <c r="A44" s="4"/>
      <c r="B44" s="24" t="s">
        <v>29</v>
      </c>
      <c r="C44" s="65">
        <v>5</v>
      </c>
      <c r="D44" s="103">
        <v>5</v>
      </c>
      <c r="E44" s="54">
        <v>12</v>
      </c>
      <c r="F44" s="73">
        <v>4</v>
      </c>
      <c r="G44" s="73">
        <f t="shared" si="0"/>
        <v>26</v>
      </c>
    </row>
    <row r="45" spans="1:7" s="5" customFormat="1" ht="27.75" customHeight="1">
      <c r="A45" s="4"/>
      <c r="B45" s="24" t="s">
        <v>30</v>
      </c>
      <c r="C45" s="65">
        <f>78+C46</f>
        <v>4935</v>
      </c>
      <c r="D45" s="103">
        <f>812+D46</f>
        <v>5633</v>
      </c>
      <c r="E45" s="54">
        <f>245+E46</f>
        <v>5872</v>
      </c>
      <c r="F45" s="73">
        <f>45+F46</f>
        <v>4199</v>
      </c>
      <c r="G45" s="73">
        <f t="shared" si="0"/>
        <v>20639</v>
      </c>
    </row>
    <row r="46" spans="1:7" s="9" customFormat="1" ht="27.75" customHeight="1">
      <c r="A46" s="10"/>
      <c r="B46" s="25" t="s">
        <v>75</v>
      </c>
      <c r="C46" s="46">
        <v>4857</v>
      </c>
      <c r="D46" s="20">
        <v>4821</v>
      </c>
      <c r="E46" s="20">
        <v>5627</v>
      </c>
      <c r="F46" s="55">
        <v>4154</v>
      </c>
      <c r="G46" s="72">
        <f t="shared" si="0"/>
        <v>19459</v>
      </c>
    </row>
    <row r="47" spans="1:7" s="5" customFormat="1" ht="27.75" customHeight="1">
      <c r="A47" s="4"/>
      <c r="B47" s="24" t="s">
        <v>31</v>
      </c>
      <c r="C47" s="65">
        <f>108+C48</f>
        <v>964</v>
      </c>
      <c r="D47" s="103">
        <f>1188+D48</f>
        <v>1812</v>
      </c>
      <c r="E47" s="54">
        <f>285+E48</f>
        <v>868</v>
      </c>
      <c r="F47" s="73">
        <f>96+F48</f>
        <v>691.1</v>
      </c>
      <c r="G47" s="73">
        <f t="shared" si="0"/>
        <v>4335.1</v>
      </c>
    </row>
    <row r="48" spans="1:7" s="9" customFormat="1" ht="27.75" customHeight="1">
      <c r="A48" s="10"/>
      <c r="B48" s="25" t="s">
        <v>75</v>
      </c>
      <c r="C48" s="63">
        <v>856</v>
      </c>
      <c r="D48" s="20">
        <v>624</v>
      </c>
      <c r="E48" s="55">
        <v>583</v>
      </c>
      <c r="F48" s="72">
        <v>595.1</v>
      </c>
      <c r="G48" s="72">
        <f t="shared" si="0"/>
        <v>2658.1</v>
      </c>
    </row>
    <row r="49" spans="1:7" s="5" customFormat="1" ht="27.75" customHeight="1">
      <c r="A49" s="7"/>
      <c r="B49" s="24" t="s">
        <v>32</v>
      </c>
      <c r="C49" s="61">
        <f>C50+C51+C52+C53</f>
        <v>4979</v>
      </c>
      <c r="D49" s="104">
        <f>D50+D51+D52+D53</f>
        <v>4985.6</v>
      </c>
      <c r="E49" s="51">
        <f>E50+E51+E52+E53</f>
        <v>5330</v>
      </c>
      <c r="F49" s="71">
        <f>F50+F51+F52+F53</f>
        <v>6008.7</v>
      </c>
      <c r="G49" s="71">
        <f t="shared" si="0"/>
        <v>21303.3</v>
      </c>
    </row>
    <row r="50" spans="1:7" s="9" customFormat="1" ht="27.75" customHeight="1">
      <c r="A50" s="10"/>
      <c r="B50" s="25" t="s">
        <v>34</v>
      </c>
      <c r="C50" s="63">
        <v>0</v>
      </c>
      <c r="D50" s="20">
        <v>0</v>
      </c>
      <c r="E50" s="55">
        <v>0</v>
      </c>
      <c r="F50" s="72">
        <v>0</v>
      </c>
      <c r="G50" s="72">
        <f t="shared" si="0"/>
        <v>0</v>
      </c>
    </row>
    <row r="51" spans="1:7" s="9" customFormat="1" ht="27.75" customHeight="1">
      <c r="A51" s="10"/>
      <c r="B51" s="25" t="s">
        <v>33</v>
      </c>
      <c r="C51" s="63">
        <v>193</v>
      </c>
      <c r="D51" s="20">
        <v>215</v>
      </c>
      <c r="E51" s="55">
        <v>226</v>
      </c>
      <c r="F51" s="72">
        <v>206</v>
      </c>
      <c r="G51" s="72">
        <f t="shared" si="0"/>
        <v>840</v>
      </c>
    </row>
    <row r="52" spans="1:7" s="9" customFormat="1" ht="27.75" customHeight="1">
      <c r="A52" s="10"/>
      <c r="B52" s="25" t="s">
        <v>71</v>
      </c>
      <c r="C52" s="63">
        <v>3805</v>
      </c>
      <c r="D52" s="20">
        <v>3715</v>
      </c>
      <c r="E52" s="55">
        <v>4151</v>
      </c>
      <c r="F52" s="72">
        <v>3657</v>
      </c>
      <c r="G52" s="72">
        <f t="shared" si="0"/>
        <v>15328</v>
      </c>
    </row>
    <row r="53" spans="1:7" s="9" customFormat="1" ht="27.75" customHeight="1">
      <c r="A53" s="10"/>
      <c r="B53" s="25" t="s">
        <v>72</v>
      </c>
      <c r="C53" s="63">
        <f>63+C54</f>
        <v>981</v>
      </c>
      <c r="D53" s="20">
        <f>182+D54</f>
        <v>1055.6</v>
      </c>
      <c r="E53" s="55">
        <f>138+E54</f>
        <v>953</v>
      </c>
      <c r="F53" s="72">
        <f>1313+F54</f>
        <v>2145.7</v>
      </c>
      <c r="G53" s="72">
        <f t="shared" si="0"/>
        <v>5135.299999999999</v>
      </c>
    </row>
    <row r="54" spans="1:7" s="9" customFormat="1" ht="27.75" customHeight="1" thickBot="1">
      <c r="A54" s="88"/>
      <c r="B54" s="89" t="s">
        <v>75</v>
      </c>
      <c r="C54" s="91">
        <v>918</v>
      </c>
      <c r="D54" s="109">
        <v>873.6</v>
      </c>
      <c r="E54" s="90">
        <v>815</v>
      </c>
      <c r="F54" s="92">
        <v>832.7</v>
      </c>
      <c r="G54" s="92">
        <f t="shared" si="0"/>
        <v>3439.3</v>
      </c>
    </row>
    <row r="55" spans="1:7" ht="43.5" customHeight="1">
      <c r="A55" s="39" t="s">
        <v>69</v>
      </c>
      <c r="B55" s="9"/>
      <c r="C55" s="19"/>
      <c r="D55" s="19"/>
      <c r="E55" s="19"/>
      <c r="F55" s="98"/>
      <c r="G55" s="19"/>
    </row>
    <row r="56" spans="1:7" ht="28.5" customHeight="1" thickBot="1">
      <c r="A56" s="12"/>
      <c r="C56" s="16"/>
      <c r="D56" s="16"/>
      <c r="E56" s="16"/>
      <c r="F56" s="16"/>
      <c r="G56" s="16" t="s">
        <v>0</v>
      </c>
    </row>
    <row r="57" spans="1:7" s="5" customFormat="1" ht="33.75" customHeight="1">
      <c r="A57" s="112"/>
      <c r="B57" s="110"/>
      <c r="C57" s="114" t="s">
        <v>82</v>
      </c>
      <c r="D57" s="115"/>
      <c r="E57" s="115"/>
      <c r="F57" s="116"/>
      <c r="G57" s="120" t="s">
        <v>82</v>
      </c>
    </row>
    <row r="58" spans="1:7" s="5" customFormat="1" ht="54.75" customHeight="1">
      <c r="A58" s="113"/>
      <c r="B58" s="111"/>
      <c r="C58" s="57" t="s">
        <v>77</v>
      </c>
      <c r="D58" s="37" t="s">
        <v>78</v>
      </c>
      <c r="E58" s="37" t="s">
        <v>80</v>
      </c>
      <c r="F58" s="37" t="s">
        <v>81</v>
      </c>
      <c r="G58" s="121"/>
    </row>
    <row r="59" spans="1:7" s="5" customFormat="1" ht="9.75" customHeight="1">
      <c r="A59" s="4"/>
      <c r="B59" s="26"/>
      <c r="C59" s="66"/>
      <c r="D59" s="82"/>
      <c r="E59" s="82"/>
      <c r="F59" s="75"/>
      <c r="G59" s="43"/>
    </row>
    <row r="60" spans="1:7" s="5" customFormat="1" ht="24.75" customHeight="1">
      <c r="A60" s="14"/>
      <c r="B60" s="24" t="s">
        <v>25</v>
      </c>
      <c r="C60" s="61">
        <f>C61+C62+C64+C66</f>
        <v>-9121</v>
      </c>
      <c r="D60" s="51">
        <f>D61+D62+D64+D66</f>
        <v>-10979.8</v>
      </c>
      <c r="E60" s="51">
        <f>E61+E62+E64+E66</f>
        <v>-10436</v>
      </c>
      <c r="F60" s="51">
        <f>F61+F62+F64+F66</f>
        <v>-11463.693</v>
      </c>
      <c r="G60" s="30">
        <f>C60+D60+E60+F60</f>
        <v>-42000.493</v>
      </c>
    </row>
    <row r="61" spans="1:7" s="5" customFormat="1" ht="24.75" customHeight="1">
      <c r="A61" s="14"/>
      <c r="B61" s="24" t="s">
        <v>35</v>
      </c>
      <c r="C61" s="60">
        <v>-60</v>
      </c>
      <c r="D61" s="50">
        <v>-62</v>
      </c>
      <c r="E61" s="50">
        <v>-57</v>
      </c>
      <c r="F61" s="50">
        <v>-67</v>
      </c>
      <c r="G61" s="29">
        <f aca="true" t="shared" si="2" ref="G61:G121">C61+D61+E61+F61</f>
        <v>-246</v>
      </c>
    </row>
    <row r="62" spans="1:7" s="5" customFormat="1" ht="24.75" customHeight="1">
      <c r="A62" s="14"/>
      <c r="B62" s="24" t="s">
        <v>30</v>
      </c>
      <c r="C62" s="65">
        <f>-523+C63</f>
        <v>-2876</v>
      </c>
      <c r="D62" s="54">
        <f>-1758+D63</f>
        <v>-4750</v>
      </c>
      <c r="E62" s="54">
        <f>-424+E63</f>
        <v>-3995</v>
      </c>
      <c r="F62" s="54">
        <f>-1674+F63</f>
        <v>-5525</v>
      </c>
      <c r="G62" s="47">
        <f t="shared" si="2"/>
        <v>-17146</v>
      </c>
    </row>
    <row r="63" spans="1:9" s="9" customFormat="1" ht="24.75" customHeight="1">
      <c r="A63" s="15"/>
      <c r="B63" s="25" t="s">
        <v>75</v>
      </c>
      <c r="C63" s="63">
        <v>-2353</v>
      </c>
      <c r="D63" s="55">
        <v>-2992</v>
      </c>
      <c r="E63" s="55">
        <v>-3571</v>
      </c>
      <c r="F63" s="55">
        <v>-3851</v>
      </c>
      <c r="G63" s="42">
        <f t="shared" si="2"/>
        <v>-12767</v>
      </c>
      <c r="I63" s="5"/>
    </row>
    <row r="64" spans="1:7" s="5" customFormat="1" ht="24.75" customHeight="1">
      <c r="A64" s="14"/>
      <c r="B64" s="24" t="s">
        <v>31</v>
      </c>
      <c r="C64" s="65">
        <f>-729+C65</f>
        <v>-3012.5</v>
      </c>
      <c r="D64" s="54">
        <f>-476+D65</f>
        <v>-3317.6</v>
      </c>
      <c r="E64" s="54">
        <f>-341+E65</f>
        <v>-3194</v>
      </c>
      <c r="F64" s="54">
        <f>-423+F65</f>
        <v>-3132.3</v>
      </c>
      <c r="G64" s="47">
        <f t="shared" si="2"/>
        <v>-12656.400000000001</v>
      </c>
    </row>
    <row r="65" spans="1:7" s="9" customFormat="1" ht="24.75" customHeight="1">
      <c r="A65" s="15"/>
      <c r="B65" s="25" t="s">
        <v>75</v>
      </c>
      <c r="C65" s="63">
        <v>-2283.5</v>
      </c>
      <c r="D65" s="55">
        <v>-2841.6</v>
      </c>
      <c r="E65" s="55">
        <v>-2853</v>
      </c>
      <c r="F65" s="55">
        <v>-2709.3</v>
      </c>
      <c r="G65" s="42">
        <f t="shared" si="2"/>
        <v>-10687.400000000001</v>
      </c>
    </row>
    <row r="66" spans="1:7" s="5" customFormat="1" ht="24.75" customHeight="1">
      <c r="A66" s="14"/>
      <c r="B66" s="24" t="s">
        <v>32</v>
      </c>
      <c r="C66" s="61">
        <f>C67+C68+C69+C70</f>
        <v>-3172.5</v>
      </c>
      <c r="D66" s="51">
        <f>D67+D68+D69+D70</f>
        <v>-2850.2</v>
      </c>
      <c r="E66" s="51">
        <f>E67+E68+E69+E70</f>
        <v>-3190</v>
      </c>
      <c r="F66" s="51">
        <f>F67+F68+F69+F70</f>
        <v>-2739.393</v>
      </c>
      <c r="G66" s="30">
        <f t="shared" si="2"/>
        <v>-11952.093</v>
      </c>
    </row>
    <row r="67" spans="1:7" s="9" customFormat="1" ht="24.75" customHeight="1">
      <c r="A67" s="15"/>
      <c r="B67" s="25" t="s">
        <v>34</v>
      </c>
      <c r="C67" s="63">
        <v>-197</v>
      </c>
      <c r="D67" s="55">
        <v>-132</v>
      </c>
      <c r="E67" s="55">
        <v>-217</v>
      </c>
      <c r="F67" s="55">
        <v>-56</v>
      </c>
      <c r="G67" s="42">
        <f t="shared" si="2"/>
        <v>-602</v>
      </c>
    </row>
    <row r="68" spans="1:7" s="9" customFormat="1" ht="24.75" customHeight="1">
      <c r="A68" s="15"/>
      <c r="B68" s="25" t="s">
        <v>33</v>
      </c>
      <c r="C68" s="62">
        <v>-1</v>
      </c>
      <c r="D68" s="52">
        <v>-1</v>
      </c>
      <c r="E68" s="52">
        <v>-1</v>
      </c>
      <c r="F68" s="52">
        <v>-0.293</v>
      </c>
      <c r="G68" s="31">
        <f t="shared" si="2"/>
        <v>-3.293</v>
      </c>
    </row>
    <row r="69" spans="1:7" s="9" customFormat="1" ht="24.75" customHeight="1">
      <c r="A69" s="15"/>
      <c r="B69" s="25" t="s">
        <v>71</v>
      </c>
      <c r="C69" s="63">
        <v>-1642</v>
      </c>
      <c r="D69" s="55">
        <v>-1486</v>
      </c>
      <c r="E69" s="55">
        <v>-1750</v>
      </c>
      <c r="F69" s="55">
        <v>-1489</v>
      </c>
      <c r="G69" s="42">
        <f t="shared" si="2"/>
        <v>-6367</v>
      </c>
    </row>
    <row r="70" spans="1:7" s="9" customFormat="1" ht="24.75" customHeight="1">
      <c r="A70" s="15"/>
      <c r="B70" s="25" t="s">
        <v>72</v>
      </c>
      <c r="C70" s="63">
        <f>-71+C71</f>
        <v>-1332.5</v>
      </c>
      <c r="D70" s="55">
        <f>-30+D71</f>
        <v>-1231.2</v>
      </c>
      <c r="E70" s="55">
        <f>-101+E71</f>
        <v>-1222</v>
      </c>
      <c r="F70" s="55">
        <f>-49+F71</f>
        <v>-1194.1000000000001</v>
      </c>
      <c r="G70" s="42">
        <f t="shared" si="2"/>
        <v>-4979.8</v>
      </c>
    </row>
    <row r="71" spans="1:7" s="9" customFormat="1" ht="24.75" customHeight="1">
      <c r="A71" s="15"/>
      <c r="B71" s="24" t="s">
        <v>75</v>
      </c>
      <c r="C71" s="63">
        <v>-1261.5</v>
      </c>
      <c r="D71" s="55">
        <v>-1201.2</v>
      </c>
      <c r="E71" s="55">
        <v>-1121</v>
      </c>
      <c r="F71" s="55">
        <v>-1145.1000000000001</v>
      </c>
      <c r="G71" s="42">
        <f t="shared" si="2"/>
        <v>-4728.8</v>
      </c>
    </row>
    <row r="72" spans="1:7" s="5" customFormat="1" ht="24.75" customHeight="1">
      <c r="A72" s="14" t="s">
        <v>36</v>
      </c>
      <c r="B72" s="23" t="s">
        <v>37</v>
      </c>
      <c r="C72" s="67">
        <f>C73+C76</f>
        <v>1577</v>
      </c>
      <c r="D72" s="35">
        <f>D73+D76</f>
        <v>548</v>
      </c>
      <c r="E72" s="35">
        <f>E73+E76</f>
        <v>44</v>
      </c>
      <c r="F72" s="35">
        <f>F73+F76</f>
        <v>2090.7</v>
      </c>
      <c r="G72" s="32">
        <f t="shared" si="2"/>
        <v>4259.7</v>
      </c>
    </row>
    <row r="73" spans="1:7" s="5" customFormat="1" ht="24.75" customHeight="1">
      <c r="A73" s="14"/>
      <c r="B73" s="24" t="s">
        <v>14</v>
      </c>
      <c r="C73" s="60">
        <f>C74+C75</f>
        <v>3864</v>
      </c>
      <c r="D73" s="50">
        <f>D74+D75</f>
        <v>2349</v>
      </c>
      <c r="E73" s="50">
        <f>E74+E75</f>
        <v>1369</v>
      </c>
      <c r="F73" s="50">
        <f>F74+F75</f>
        <v>3923</v>
      </c>
      <c r="G73" s="29">
        <f t="shared" si="2"/>
        <v>11505</v>
      </c>
    </row>
    <row r="74" spans="1:7" s="5" customFormat="1" ht="24.75" customHeight="1">
      <c r="A74" s="14"/>
      <c r="B74" s="24" t="s">
        <v>38</v>
      </c>
      <c r="C74" s="61">
        <v>3737</v>
      </c>
      <c r="D74" s="51">
        <v>2269</v>
      </c>
      <c r="E74" s="51">
        <v>1284</v>
      </c>
      <c r="F74" s="51">
        <v>1501</v>
      </c>
      <c r="G74" s="30">
        <f t="shared" si="2"/>
        <v>8791</v>
      </c>
    </row>
    <row r="75" spans="1:7" s="5" customFormat="1" ht="24.75" customHeight="1">
      <c r="A75" s="14"/>
      <c r="B75" s="24" t="s">
        <v>39</v>
      </c>
      <c r="C75" s="60">
        <v>127</v>
      </c>
      <c r="D75" s="50">
        <v>80</v>
      </c>
      <c r="E75" s="50">
        <v>85</v>
      </c>
      <c r="F75" s="50">
        <v>2422</v>
      </c>
      <c r="G75" s="29">
        <f t="shared" si="2"/>
        <v>2714</v>
      </c>
    </row>
    <row r="76" spans="1:7" s="5" customFormat="1" ht="24.75" customHeight="1">
      <c r="A76" s="14"/>
      <c r="B76" s="24" t="s">
        <v>25</v>
      </c>
      <c r="C76" s="60">
        <f>C77+C78</f>
        <v>-2287</v>
      </c>
      <c r="D76" s="50">
        <f>D77+D78</f>
        <v>-1801</v>
      </c>
      <c r="E76" s="50">
        <f>E77+E78</f>
        <v>-1325</v>
      </c>
      <c r="F76" s="50">
        <f>F77+F78</f>
        <v>-1832.3</v>
      </c>
      <c r="G76" s="29">
        <f t="shared" si="2"/>
        <v>-7245.3</v>
      </c>
    </row>
    <row r="77" spans="1:7" s="5" customFormat="1" ht="24.75" customHeight="1">
      <c r="A77" s="14"/>
      <c r="B77" s="24" t="s">
        <v>38</v>
      </c>
      <c r="C77" s="44">
        <v>-2198</v>
      </c>
      <c r="D77" s="45">
        <v>-1702</v>
      </c>
      <c r="E77" s="51">
        <v>-1220</v>
      </c>
      <c r="F77" s="51">
        <v>-1676</v>
      </c>
      <c r="G77" s="30">
        <f t="shared" si="2"/>
        <v>-6796</v>
      </c>
    </row>
    <row r="78" spans="1:7" s="5" customFormat="1" ht="24.75" customHeight="1">
      <c r="A78" s="14"/>
      <c r="B78" s="24" t="s">
        <v>39</v>
      </c>
      <c r="C78" s="60">
        <f>-8+C79</f>
        <v>-89</v>
      </c>
      <c r="D78" s="50">
        <f>-3+D79</f>
        <v>-99</v>
      </c>
      <c r="E78" s="50">
        <f>-4+E79</f>
        <v>-105</v>
      </c>
      <c r="F78" s="50">
        <f>-65+F79</f>
        <v>-156.3</v>
      </c>
      <c r="G78" s="29">
        <f t="shared" si="2"/>
        <v>-449.3</v>
      </c>
    </row>
    <row r="79" spans="1:7" s="5" customFormat="1" ht="24.75" customHeight="1">
      <c r="A79" s="14"/>
      <c r="B79" s="25" t="s">
        <v>75</v>
      </c>
      <c r="C79" s="60">
        <v>-81</v>
      </c>
      <c r="D79" s="50">
        <v>-96</v>
      </c>
      <c r="E79" s="50">
        <v>-101</v>
      </c>
      <c r="F79" s="50">
        <v>-91.30000000000001</v>
      </c>
      <c r="G79" s="29">
        <f t="shared" si="2"/>
        <v>-369.3</v>
      </c>
    </row>
    <row r="80" spans="1:7" s="5" customFormat="1" ht="24.75" customHeight="1">
      <c r="A80" s="14" t="s">
        <v>40</v>
      </c>
      <c r="B80" s="23" t="s">
        <v>41</v>
      </c>
      <c r="C80" s="64">
        <f>C81+C83</f>
        <v>5556.5</v>
      </c>
      <c r="D80" s="53">
        <f>D81+D83</f>
        <v>10099.800000000017</v>
      </c>
      <c r="E80" s="53">
        <f>E81+E83</f>
        <v>8763.948072785039</v>
      </c>
      <c r="F80" s="53">
        <f>F81+F83</f>
        <v>13495.499999999942</v>
      </c>
      <c r="G80" s="33">
        <f t="shared" si="2"/>
        <v>37915.748072785</v>
      </c>
    </row>
    <row r="81" spans="1:7" s="5" customFormat="1" ht="24.75" customHeight="1">
      <c r="A81" s="14" t="s">
        <v>42</v>
      </c>
      <c r="B81" s="23" t="s">
        <v>43</v>
      </c>
      <c r="C81" s="64">
        <f>C82</f>
        <v>-40</v>
      </c>
      <c r="D81" s="17">
        <f>D82</f>
        <v>-73</v>
      </c>
      <c r="E81" s="53">
        <f>E82</f>
        <v>-45</v>
      </c>
      <c r="F81" s="53">
        <f>F82</f>
        <v>-83</v>
      </c>
      <c r="G81" s="33">
        <f t="shared" si="2"/>
        <v>-241</v>
      </c>
    </row>
    <row r="82" spans="1:7" s="9" customFormat="1" ht="24.75" customHeight="1">
      <c r="A82" s="15"/>
      <c r="B82" s="25" t="s">
        <v>44</v>
      </c>
      <c r="C82" s="62">
        <v>-40</v>
      </c>
      <c r="D82" s="52">
        <v>-73</v>
      </c>
      <c r="E82" s="52">
        <v>-45</v>
      </c>
      <c r="F82" s="52">
        <v>-83</v>
      </c>
      <c r="G82" s="31">
        <f t="shared" si="2"/>
        <v>-241</v>
      </c>
    </row>
    <row r="83" spans="1:7" s="5" customFormat="1" ht="24.75" customHeight="1">
      <c r="A83" s="14" t="s">
        <v>45</v>
      </c>
      <c r="B83" s="23" t="s">
        <v>68</v>
      </c>
      <c r="C83" s="67">
        <f>C84+C89+C100+C115</f>
        <v>5596.5</v>
      </c>
      <c r="D83" s="35">
        <f>D84+D89+D100+D115</f>
        <v>10172.800000000017</v>
      </c>
      <c r="E83" s="35">
        <f>E84+E89+E100+E115</f>
        <v>8808.948072785039</v>
      </c>
      <c r="F83" s="35">
        <f>F84+F89+F100+F115</f>
        <v>13578.499999999942</v>
      </c>
      <c r="G83" s="32">
        <f t="shared" si="2"/>
        <v>38156.748072785</v>
      </c>
    </row>
    <row r="84" spans="1:8" s="6" customFormat="1" ht="24.75" customHeight="1">
      <c r="A84" s="14"/>
      <c r="B84" s="23" t="s">
        <v>46</v>
      </c>
      <c r="C84" s="64">
        <f>C85+C87</f>
        <v>18601</v>
      </c>
      <c r="D84" s="53">
        <f>D85+D87</f>
        <v>-56470.59999999998</v>
      </c>
      <c r="E84" s="53">
        <f>E85+E87</f>
        <v>-543</v>
      </c>
      <c r="F84" s="53">
        <f>F85+F87</f>
        <v>21094.99999999994</v>
      </c>
      <c r="G84" s="33">
        <f t="shared" si="2"/>
        <v>-17317.600000000035</v>
      </c>
      <c r="H84" s="97"/>
    </row>
    <row r="85" spans="1:7" s="5" customFormat="1" ht="24.75" customHeight="1">
      <c r="A85" s="14"/>
      <c r="B85" s="24" t="s">
        <v>47</v>
      </c>
      <c r="C85" s="65">
        <f>-656+C86</f>
        <v>-549773</v>
      </c>
      <c r="D85" s="54">
        <f>-646+D86</f>
        <v>-523615.6</v>
      </c>
      <c r="E85" s="54">
        <f>-551+E86</f>
        <v>-488656</v>
      </c>
      <c r="F85" s="54">
        <f>-807+F86</f>
        <v>-499371.00000000006</v>
      </c>
      <c r="G85" s="47">
        <f t="shared" si="2"/>
        <v>-2061415.6</v>
      </c>
    </row>
    <row r="86" spans="1:7" s="9" customFormat="1" ht="24.75" customHeight="1">
      <c r="A86" s="15"/>
      <c r="B86" s="25" t="s">
        <v>75</v>
      </c>
      <c r="C86" s="63">
        <v>-549117</v>
      </c>
      <c r="D86" s="55">
        <v>-522969.6</v>
      </c>
      <c r="E86" s="55">
        <v>-488105</v>
      </c>
      <c r="F86" s="55">
        <v>-498564.00000000006</v>
      </c>
      <c r="G86" s="42">
        <f t="shared" si="2"/>
        <v>-2058755.6</v>
      </c>
    </row>
    <row r="87" spans="1:7" s="5" customFormat="1" ht="24.75" customHeight="1">
      <c r="A87" s="14"/>
      <c r="B87" s="24" t="s">
        <v>48</v>
      </c>
      <c r="C87" s="61">
        <f>1420+C88</f>
        <v>568374</v>
      </c>
      <c r="D87" s="51">
        <f>2007+D88</f>
        <v>467145</v>
      </c>
      <c r="E87" s="51">
        <f>1193+E88</f>
        <v>488113</v>
      </c>
      <c r="F87" s="51">
        <f>6226+F88</f>
        <v>520466</v>
      </c>
      <c r="G87" s="30">
        <f t="shared" si="2"/>
        <v>2044098</v>
      </c>
    </row>
    <row r="88" spans="1:7" s="9" customFormat="1" ht="24.75" customHeight="1">
      <c r="A88" s="15"/>
      <c r="B88" s="25" t="s">
        <v>75</v>
      </c>
      <c r="C88" s="68">
        <v>566954</v>
      </c>
      <c r="D88" s="83">
        <v>465138</v>
      </c>
      <c r="E88" s="83">
        <v>486920</v>
      </c>
      <c r="F88" s="83">
        <v>514240</v>
      </c>
      <c r="G88" s="48">
        <f t="shared" si="2"/>
        <v>2033252</v>
      </c>
    </row>
    <row r="89" spans="1:7" s="5" customFormat="1" ht="24.75" customHeight="1">
      <c r="A89" s="14"/>
      <c r="B89" s="23" t="s">
        <v>49</v>
      </c>
      <c r="C89" s="64">
        <f>C90+C95</f>
        <v>79773.5</v>
      </c>
      <c r="D89" s="53">
        <f>D90+D95+1</f>
        <v>80318.2</v>
      </c>
      <c r="E89" s="53">
        <f>E90+E95</f>
        <v>73378</v>
      </c>
      <c r="F89" s="53">
        <f>F90+F95</f>
        <v>71771.6</v>
      </c>
      <c r="G89" s="33">
        <f t="shared" si="2"/>
        <v>305241.30000000005</v>
      </c>
    </row>
    <row r="90" spans="1:7" s="5" customFormat="1" ht="24.75" customHeight="1">
      <c r="A90" s="14"/>
      <c r="B90" s="23" t="s">
        <v>50</v>
      </c>
      <c r="C90" s="64">
        <f>C91+C93</f>
        <v>29778.5</v>
      </c>
      <c r="D90" s="53">
        <f>D91+D93</f>
        <v>31067.8</v>
      </c>
      <c r="E90" s="53">
        <f>E91+E93</f>
        <v>27951</v>
      </c>
      <c r="F90" s="53">
        <f>F91+F93</f>
        <v>27932.300000000003</v>
      </c>
      <c r="G90" s="33">
        <f t="shared" si="2"/>
        <v>116729.6</v>
      </c>
    </row>
    <row r="91" spans="1:7" s="5" customFormat="1" ht="24.75" customHeight="1">
      <c r="A91" s="14"/>
      <c r="B91" s="24" t="s">
        <v>51</v>
      </c>
      <c r="C91" s="65">
        <f>-1228+C92</f>
        <v>50028.5</v>
      </c>
      <c r="D91" s="54">
        <f>1537+D92</f>
        <v>50353</v>
      </c>
      <c r="E91" s="54">
        <f>390+E92</f>
        <v>45951</v>
      </c>
      <c r="F91" s="54">
        <f>-220+F92</f>
        <v>46317.700000000004</v>
      </c>
      <c r="G91" s="47">
        <f t="shared" si="2"/>
        <v>192650.2</v>
      </c>
    </row>
    <row r="92" spans="1:7" s="9" customFormat="1" ht="24.75" customHeight="1">
      <c r="A92" s="15"/>
      <c r="B92" s="25" t="s">
        <v>75</v>
      </c>
      <c r="C92" s="63">
        <v>51256.5</v>
      </c>
      <c r="D92" s="55">
        <v>48816</v>
      </c>
      <c r="E92" s="55">
        <v>45561</v>
      </c>
      <c r="F92" s="55">
        <v>46537.700000000004</v>
      </c>
      <c r="G92" s="42">
        <f t="shared" si="2"/>
        <v>192171.2</v>
      </c>
    </row>
    <row r="93" spans="1:7" s="5" customFormat="1" ht="24.75" customHeight="1">
      <c r="A93" s="14"/>
      <c r="B93" s="24" t="s">
        <v>52</v>
      </c>
      <c r="C93" s="65">
        <f>C94</f>
        <v>-20250</v>
      </c>
      <c r="D93" s="54">
        <f>0+D94</f>
        <v>-19285.2</v>
      </c>
      <c r="E93" s="54">
        <f>0+E94</f>
        <v>-18000</v>
      </c>
      <c r="F93" s="54">
        <f>F94</f>
        <v>-18385.4</v>
      </c>
      <c r="G93" s="47">
        <f t="shared" si="2"/>
        <v>-75920.6</v>
      </c>
    </row>
    <row r="94" spans="1:7" s="9" customFormat="1" ht="24.75" customHeight="1">
      <c r="A94" s="15"/>
      <c r="B94" s="25" t="s">
        <v>75</v>
      </c>
      <c r="C94" s="63">
        <v>-20250</v>
      </c>
      <c r="D94" s="55">
        <v>-19285.2</v>
      </c>
      <c r="E94" s="55">
        <v>-18000</v>
      </c>
      <c r="F94" s="55">
        <v>-18385.4</v>
      </c>
      <c r="G94" s="42">
        <f t="shared" si="2"/>
        <v>-75920.6</v>
      </c>
    </row>
    <row r="95" spans="1:7" s="5" customFormat="1" ht="24.75" customHeight="1">
      <c r="A95" s="14"/>
      <c r="B95" s="23" t="s">
        <v>53</v>
      </c>
      <c r="C95" s="64">
        <f>C96+C98</f>
        <v>49995</v>
      </c>
      <c r="D95" s="53">
        <f>D96+D98</f>
        <v>49249.4</v>
      </c>
      <c r="E95" s="53">
        <f>E96+E98</f>
        <v>45427</v>
      </c>
      <c r="F95" s="53">
        <f>F96+F98</f>
        <v>43839.3</v>
      </c>
      <c r="G95" s="33">
        <f t="shared" si="2"/>
        <v>188510.7</v>
      </c>
    </row>
    <row r="96" spans="1:7" s="5" customFormat="1" ht="24.75" customHeight="1">
      <c r="A96" s="14"/>
      <c r="B96" s="24" t="s">
        <v>51</v>
      </c>
      <c r="C96" s="65">
        <f>621+C97</f>
        <v>54379.5</v>
      </c>
      <c r="D96" s="54">
        <f>176+D97</f>
        <v>51374</v>
      </c>
      <c r="E96" s="54">
        <f>E97+2020</f>
        <v>49805</v>
      </c>
      <c r="F96" s="54">
        <f>-768+F97</f>
        <v>48041.200000000004</v>
      </c>
      <c r="G96" s="47">
        <f t="shared" si="2"/>
        <v>203599.7</v>
      </c>
    </row>
    <row r="97" spans="1:7" s="9" customFormat="1" ht="24.75" customHeight="1">
      <c r="A97" s="15"/>
      <c r="B97" s="25" t="s">
        <v>75</v>
      </c>
      <c r="C97" s="63">
        <v>53758.5</v>
      </c>
      <c r="D97" s="55">
        <v>51198</v>
      </c>
      <c r="E97" s="55">
        <v>47785</v>
      </c>
      <c r="F97" s="55">
        <v>48809.200000000004</v>
      </c>
      <c r="G97" s="42">
        <f t="shared" si="2"/>
        <v>201550.7</v>
      </c>
    </row>
    <row r="98" spans="1:9" s="5" customFormat="1" ht="24.75" customHeight="1">
      <c r="A98" s="14"/>
      <c r="B98" s="24" t="s">
        <v>52</v>
      </c>
      <c r="C98" s="65">
        <f>60+C99</f>
        <v>-4384.5</v>
      </c>
      <c r="D98" s="54">
        <f>2109+D99</f>
        <v>-2124.5999999999995</v>
      </c>
      <c r="E98" s="54">
        <f>-427+E99</f>
        <v>-4378</v>
      </c>
      <c r="F98" s="54">
        <f>-166+F99</f>
        <v>-4201.900000000001</v>
      </c>
      <c r="G98" s="47">
        <f t="shared" si="2"/>
        <v>-15089</v>
      </c>
      <c r="I98" s="99"/>
    </row>
    <row r="99" spans="1:7" s="9" customFormat="1" ht="24.75" customHeight="1">
      <c r="A99" s="15"/>
      <c r="B99" s="25" t="s">
        <v>75</v>
      </c>
      <c r="C99" s="63">
        <v>-4444.5</v>
      </c>
      <c r="D99" s="55">
        <v>-4233.599999999999</v>
      </c>
      <c r="E99" s="55">
        <v>-3951</v>
      </c>
      <c r="F99" s="55">
        <v>-4035.9000000000005</v>
      </c>
      <c r="G99" s="42">
        <f t="shared" si="2"/>
        <v>-16665</v>
      </c>
    </row>
    <row r="100" spans="1:7" s="5" customFormat="1" ht="24.75" customHeight="1">
      <c r="A100" s="14"/>
      <c r="B100" s="23" t="s">
        <v>54</v>
      </c>
      <c r="C100" s="64">
        <f>C101+C108</f>
        <v>-94392</v>
      </c>
      <c r="D100" s="53">
        <f>D101+D108</f>
        <v>-10704.800000000003</v>
      </c>
      <c r="E100" s="53">
        <f>E101+E108</f>
        <v>-62921.05192721496</v>
      </c>
      <c r="F100" s="53">
        <f>F101+F108</f>
        <v>-75708.1</v>
      </c>
      <c r="G100" s="33">
        <f t="shared" si="2"/>
        <v>-243725.95192721498</v>
      </c>
    </row>
    <row r="101" spans="1:7" s="5" customFormat="1" ht="24.75" customHeight="1">
      <c r="A101" s="14"/>
      <c r="B101" s="23" t="s">
        <v>55</v>
      </c>
      <c r="C101" s="64">
        <f>C102+C103+C104+C105+C107</f>
        <v>-45376.5</v>
      </c>
      <c r="D101" s="53">
        <f>D102+D103+D104+D105+D107</f>
        <v>48702.2</v>
      </c>
      <c r="E101" s="53">
        <f>E102+E103+E104+E105+E107</f>
        <v>30321.048797338175</v>
      </c>
      <c r="F101" s="53">
        <f>F102+F103+F104+F105+F107</f>
        <v>70228.5</v>
      </c>
      <c r="G101" s="33">
        <f t="shared" si="2"/>
        <v>103875.24879733816</v>
      </c>
    </row>
    <row r="102" spans="1:7" s="5" customFormat="1" ht="24.75" customHeight="1">
      <c r="A102" s="14"/>
      <c r="B102" s="24" t="s">
        <v>56</v>
      </c>
      <c r="C102" s="60">
        <v>0</v>
      </c>
      <c r="D102" s="50">
        <v>0</v>
      </c>
      <c r="E102" s="50">
        <v>0</v>
      </c>
      <c r="F102" s="50">
        <v>0</v>
      </c>
      <c r="G102" s="29">
        <f t="shared" si="2"/>
        <v>0</v>
      </c>
    </row>
    <row r="103" spans="1:7" s="5" customFormat="1" ht="24.75" customHeight="1">
      <c r="A103" s="14"/>
      <c r="B103" s="24" t="s">
        <v>70</v>
      </c>
      <c r="C103" s="60">
        <v>0</v>
      </c>
      <c r="D103" s="50">
        <v>0</v>
      </c>
      <c r="E103" s="50">
        <v>0</v>
      </c>
      <c r="F103" s="50">
        <v>0</v>
      </c>
      <c r="G103" s="29">
        <f t="shared" si="2"/>
        <v>0</v>
      </c>
    </row>
    <row r="104" spans="1:7" s="5" customFormat="1" ht="24.75" customHeight="1">
      <c r="A104" s="14"/>
      <c r="B104" s="24" t="s">
        <v>57</v>
      </c>
      <c r="C104" s="78">
        <v>-81321</v>
      </c>
      <c r="D104" s="84">
        <v>14025</v>
      </c>
      <c r="E104" s="84">
        <v>-2584.9512026618254</v>
      </c>
      <c r="F104" s="84">
        <v>39076</v>
      </c>
      <c r="G104" s="96">
        <f t="shared" si="2"/>
        <v>-30804.951202661832</v>
      </c>
    </row>
    <row r="105" spans="1:7" s="5" customFormat="1" ht="24.75" customHeight="1">
      <c r="A105" s="14"/>
      <c r="B105" s="24" t="s">
        <v>58</v>
      </c>
      <c r="C105" s="65">
        <f>C106</f>
        <v>36037.5</v>
      </c>
      <c r="D105" s="54">
        <f>D106</f>
        <v>34321.2</v>
      </c>
      <c r="E105" s="54">
        <f>0+E106</f>
        <v>32033</v>
      </c>
      <c r="F105" s="54">
        <f>F106</f>
        <v>32719.500000000004</v>
      </c>
      <c r="G105" s="47">
        <f t="shared" si="2"/>
        <v>135111.2</v>
      </c>
    </row>
    <row r="106" spans="1:7" s="9" customFormat="1" ht="24.75" customHeight="1">
      <c r="A106" s="15"/>
      <c r="B106" s="25" t="s">
        <v>75</v>
      </c>
      <c r="C106" s="63">
        <v>36037.5</v>
      </c>
      <c r="D106" s="55">
        <v>34321.2</v>
      </c>
      <c r="E106" s="55">
        <v>32033</v>
      </c>
      <c r="F106" s="55">
        <v>32719.500000000004</v>
      </c>
      <c r="G106" s="42">
        <f t="shared" si="2"/>
        <v>135111.2</v>
      </c>
    </row>
    <row r="107" spans="1:7" s="5" customFormat="1" ht="24.75" customHeight="1">
      <c r="A107" s="14"/>
      <c r="B107" s="24" t="s">
        <v>59</v>
      </c>
      <c r="C107" s="60">
        <v>-93</v>
      </c>
      <c r="D107" s="50">
        <v>356</v>
      </c>
      <c r="E107" s="50">
        <v>873</v>
      </c>
      <c r="F107" s="50">
        <v>-1567</v>
      </c>
      <c r="G107" s="29">
        <f t="shared" si="2"/>
        <v>-431</v>
      </c>
    </row>
    <row r="108" spans="1:7" s="5" customFormat="1" ht="24.75" customHeight="1">
      <c r="A108" s="14"/>
      <c r="B108" s="23" t="s">
        <v>53</v>
      </c>
      <c r="C108" s="64">
        <f>C109+C110+C111+C112+C114</f>
        <v>-49015.5</v>
      </c>
      <c r="D108" s="53">
        <f>D109+D110+D111+D112+D114</f>
        <v>-59407</v>
      </c>
      <c r="E108" s="53">
        <f>E109+E110+E111+E112+E114</f>
        <v>-93242.10072455314</v>
      </c>
      <c r="F108" s="53">
        <f>F109+F110+F111+F112+F114</f>
        <v>-145936.6</v>
      </c>
      <c r="G108" s="33">
        <f t="shared" si="2"/>
        <v>-347601.20072455314</v>
      </c>
    </row>
    <row r="109" spans="1:7" s="5" customFormat="1" ht="24.75" customHeight="1">
      <c r="A109" s="14"/>
      <c r="B109" s="24" t="s">
        <v>56</v>
      </c>
      <c r="C109" s="60">
        <v>76</v>
      </c>
      <c r="D109" s="50">
        <v>562</v>
      </c>
      <c r="E109" s="50">
        <v>1599</v>
      </c>
      <c r="F109" s="50">
        <v>545</v>
      </c>
      <c r="G109" s="29">
        <f t="shared" si="2"/>
        <v>2782</v>
      </c>
    </row>
    <row r="110" spans="1:7" s="5" customFormat="1" ht="24.75" customHeight="1">
      <c r="A110" s="14"/>
      <c r="B110" s="24" t="s">
        <v>70</v>
      </c>
      <c r="C110" s="60">
        <v>0</v>
      </c>
      <c r="D110" s="50">
        <v>0</v>
      </c>
      <c r="E110" s="50">
        <v>0</v>
      </c>
      <c r="F110" s="50">
        <v>0</v>
      </c>
      <c r="G110" s="29">
        <f t="shared" si="2"/>
        <v>0</v>
      </c>
    </row>
    <row r="111" spans="1:7" s="5" customFormat="1" ht="24.75" customHeight="1">
      <c r="A111" s="14"/>
      <c r="B111" s="24" t="s">
        <v>57</v>
      </c>
      <c r="C111" s="65">
        <v>47592</v>
      </c>
      <c r="D111" s="54">
        <v>31011</v>
      </c>
      <c r="E111" s="54">
        <v>-10604.100724553131</v>
      </c>
      <c r="F111" s="54">
        <v>-62165</v>
      </c>
      <c r="G111" s="47">
        <f t="shared" si="2"/>
        <v>5833.899275446864</v>
      </c>
    </row>
    <row r="112" spans="1:7" s="5" customFormat="1" ht="24.75" customHeight="1">
      <c r="A112" s="14"/>
      <c r="B112" s="24" t="s">
        <v>58</v>
      </c>
      <c r="C112" s="65">
        <f>-986+C113</f>
        <v>-97722.5</v>
      </c>
      <c r="D112" s="54">
        <f>-796+D113</f>
        <v>-92926</v>
      </c>
      <c r="E112" s="54">
        <f>204+E113</f>
        <v>-85784</v>
      </c>
      <c r="F112" s="54">
        <f>558+F113</f>
        <v>-87272.6</v>
      </c>
      <c r="G112" s="47">
        <f t="shared" si="2"/>
        <v>-363705.1</v>
      </c>
    </row>
    <row r="113" spans="1:7" s="9" customFormat="1" ht="24.75" customHeight="1">
      <c r="A113" s="15"/>
      <c r="B113" s="25" t="s">
        <v>75</v>
      </c>
      <c r="C113" s="63">
        <v>-96736.5</v>
      </c>
      <c r="D113" s="55">
        <v>-92130</v>
      </c>
      <c r="E113" s="55">
        <v>-85988</v>
      </c>
      <c r="F113" s="55">
        <v>-87830.6</v>
      </c>
      <c r="G113" s="42">
        <f t="shared" si="2"/>
        <v>-362685.1</v>
      </c>
    </row>
    <row r="114" spans="1:7" s="5" customFormat="1" ht="24.75" customHeight="1">
      <c r="A114" s="14"/>
      <c r="B114" s="24" t="s">
        <v>59</v>
      </c>
      <c r="C114" s="60">
        <v>1039</v>
      </c>
      <c r="D114" s="50">
        <v>1946</v>
      </c>
      <c r="E114" s="50">
        <v>1547</v>
      </c>
      <c r="F114" s="50">
        <v>2956</v>
      </c>
      <c r="G114" s="29">
        <f t="shared" si="2"/>
        <v>7488</v>
      </c>
    </row>
    <row r="115" spans="1:7" s="5" customFormat="1" ht="24.75" customHeight="1">
      <c r="A115" s="14"/>
      <c r="B115" s="23" t="s">
        <v>60</v>
      </c>
      <c r="C115" s="64">
        <f>C116+C117+C118+C119+C120</f>
        <v>1614</v>
      </c>
      <c r="D115" s="53">
        <f>D116+D117+D118+D119+D120</f>
        <v>-2970</v>
      </c>
      <c r="E115" s="53">
        <f>E116+E117+E118+E119+E120</f>
        <v>-1105</v>
      </c>
      <c r="F115" s="53">
        <f>F116+F117+F118+F119+F120</f>
        <v>-3580</v>
      </c>
      <c r="G115" s="33">
        <f t="shared" si="2"/>
        <v>-6041</v>
      </c>
    </row>
    <row r="116" spans="1:7" s="5" customFormat="1" ht="24.75" customHeight="1">
      <c r="A116" s="14"/>
      <c r="B116" s="24" t="s">
        <v>61</v>
      </c>
      <c r="C116" s="60">
        <v>0</v>
      </c>
      <c r="D116" s="50">
        <v>0</v>
      </c>
      <c r="E116" s="50">
        <v>0</v>
      </c>
      <c r="F116" s="50">
        <v>0</v>
      </c>
      <c r="G116" s="29">
        <f t="shared" si="2"/>
        <v>0</v>
      </c>
    </row>
    <row r="117" spans="1:7" s="5" customFormat="1" ht="24.75" customHeight="1">
      <c r="A117" s="14"/>
      <c r="B117" s="24" t="s">
        <v>62</v>
      </c>
      <c r="C117" s="60">
        <v>21</v>
      </c>
      <c r="D117" s="50">
        <v>-176</v>
      </c>
      <c r="E117" s="50">
        <v>-8</v>
      </c>
      <c r="F117" s="50">
        <v>-2</v>
      </c>
      <c r="G117" s="29">
        <f t="shared" si="2"/>
        <v>-165</v>
      </c>
    </row>
    <row r="118" spans="1:7" s="5" customFormat="1" ht="24.75" customHeight="1">
      <c r="A118" s="14"/>
      <c r="B118" s="24" t="s">
        <v>63</v>
      </c>
      <c r="C118" s="60">
        <v>-40</v>
      </c>
      <c r="D118" s="50">
        <v>-56</v>
      </c>
      <c r="E118" s="50">
        <v>0</v>
      </c>
      <c r="F118" s="50">
        <v>0</v>
      </c>
      <c r="G118" s="29">
        <f t="shared" si="2"/>
        <v>-96</v>
      </c>
    </row>
    <row r="119" spans="1:7" s="5" customFormat="1" ht="24.75" customHeight="1">
      <c r="A119" s="14"/>
      <c r="B119" s="24" t="s">
        <v>64</v>
      </c>
      <c r="C119" s="60">
        <v>1633</v>
      </c>
      <c r="D119" s="50">
        <v>-2738</v>
      </c>
      <c r="E119" s="50">
        <v>-1097</v>
      </c>
      <c r="F119" s="50">
        <v>-3578</v>
      </c>
      <c r="G119" s="29">
        <f t="shared" si="2"/>
        <v>-5780</v>
      </c>
    </row>
    <row r="120" spans="1:7" s="5" customFormat="1" ht="24.75" customHeight="1">
      <c r="A120" s="14"/>
      <c r="B120" s="24" t="s">
        <v>65</v>
      </c>
      <c r="C120" s="69">
        <v>0</v>
      </c>
      <c r="D120" s="85">
        <v>0</v>
      </c>
      <c r="E120" s="85">
        <v>0</v>
      </c>
      <c r="F120" s="85">
        <v>0</v>
      </c>
      <c r="G120" s="34">
        <f t="shared" si="2"/>
        <v>0</v>
      </c>
    </row>
    <row r="121" spans="1:7" s="5" customFormat="1" ht="24.75" customHeight="1">
      <c r="A121" s="14" t="s">
        <v>66</v>
      </c>
      <c r="B121" s="23" t="s">
        <v>67</v>
      </c>
      <c r="C121" s="64">
        <f>-(C7+C80)</f>
        <v>-1333.5</v>
      </c>
      <c r="D121" s="53">
        <f>-(D7+D80)</f>
        <v>-1460.6000000000186</v>
      </c>
      <c r="E121" s="53">
        <f>-(E7+E80)</f>
        <v>2220.4228574225344</v>
      </c>
      <c r="F121" s="53">
        <f>-(F7+F80)</f>
        <v>-1792.3069999999425</v>
      </c>
      <c r="G121" s="33">
        <f t="shared" si="2"/>
        <v>-2365.9841425774266</v>
      </c>
    </row>
    <row r="122" spans="1:7" s="5" customFormat="1" ht="7.5" customHeight="1" thickBot="1">
      <c r="A122" s="11"/>
      <c r="B122" s="27"/>
      <c r="C122" s="36"/>
      <c r="D122" s="56"/>
      <c r="E122" s="56"/>
      <c r="F122" s="74"/>
      <c r="G122" s="38"/>
    </row>
    <row r="123" spans="1:2" s="3" customFormat="1" ht="24.75" customHeight="1">
      <c r="A123" s="40" t="s">
        <v>83</v>
      </c>
      <c r="B123" s="41"/>
    </row>
    <row r="124" s="3" customFormat="1" ht="20.25">
      <c r="A124" s="28" t="s">
        <v>73</v>
      </c>
    </row>
    <row r="125" ht="23.25">
      <c r="A125" s="28" t="s">
        <v>74</v>
      </c>
    </row>
    <row r="129" spans="3:7" ht="23.25">
      <c r="C129" s="100"/>
      <c r="D129" s="100"/>
      <c r="E129" s="100"/>
      <c r="F129" s="100"/>
      <c r="G129" s="100"/>
    </row>
  </sheetData>
  <sheetProtection/>
  <mergeCells count="9">
    <mergeCell ref="B57:B58"/>
    <mergeCell ref="A57:A58"/>
    <mergeCell ref="C4:F4"/>
    <mergeCell ref="A1:G2"/>
    <mergeCell ref="G4:G5"/>
    <mergeCell ref="G57:G58"/>
    <mergeCell ref="C57:F57"/>
    <mergeCell ref="B4:B5"/>
    <mergeCell ref="A4:A5"/>
  </mergeCells>
  <printOptions/>
  <pageMargins left="0.9448818897637796" right="0.35433070866141736" top="0.7874015748031497" bottom="0.7874015748031497" header="0.5118110236220472" footer="0.5118110236220472"/>
  <pageSetup horizontalDpi="600" verticalDpi="600" orientation="portrait" paperSize="9" scale="40" r:id="rId1"/>
  <rowBreaks count="1" manualBreakCount="1"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ahaulkhory</dc:creator>
  <cp:keywords/>
  <dc:description/>
  <cp:lastModifiedBy>Soobhadra Fowdur</cp:lastModifiedBy>
  <cp:lastPrinted>2013-05-08T12:48:04Z</cp:lastPrinted>
  <dcterms:created xsi:type="dcterms:W3CDTF">2009-12-10T04:21:29Z</dcterms:created>
  <dcterms:modified xsi:type="dcterms:W3CDTF">2013-05-08T12:48:14Z</dcterms:modified>
  <cp:category/>
  <cp:version/>
  <cp:contentType/>
  <cp:contentStatus/>
</cp:coreProperties>
</file>