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hared Documents\ERD - STATS\MSB\2016\May-16\First Draft\"/>
    </mc:Choice>
  </mc:AlternateContent>
  <bookViews>
    <workbookView xWindow="240" yWindow="45" windowWidth="15120" windowHeight="7710"/>
  </bookViews>
  <sheets>
    <sheet name="51" sheetId="2" r:id="rId1"/>
  </sheets>
  <externalReferences>
    <externalReference r:id="rId2"/>
  </externalReferences>
  <definedNames>
    <definedName name="_xlnm.Database" localSheetId="0">'[1]Table-1'!#REF!</definedName>
    <definedName name="_xlnm.Database">'[1]Table-1'!#REF!</definedName>
    <definedName name="_xlnm.Print_Area" localSheetId="0">'51'!$A$1:$H$124</definedName>
    <definedName name="Print_Area_MI" localSheetId="0">#REF!</definedName>
    <definedName name="Print_Area_MI">#REF!</definedName>
  </definedNames>
  <calcPr calcId="162913"/>
</workbook>
</file>

<file path=xl/calcChain.xml><?xml version="1.0" encoding="utf-8"?>
<calcChain xmlns="http://schemas.openxmlformats.org/spreadsheetml/2006/main">
  <c r="F38" i="2" l="1"/>
  <c r="E38" i="2"/>
  <c r="D38" i="2"/>
  <c r="C38" i="2"/>
  <c r="G38" i="2" s="1"/>
  <c r="C35" i="2"/>
  <c r="C31" i="2"/>
  <c r="D76" i="2" l="1"/>
  <c r="E76" i="2"/>
  <c r="D52" i="2"/>
  <c r="D46" i="2"/>
  <c r="E46" i="2"/>
  <c r="D83" i="2" l="1"/>
  <c r="E83" i="2"/>
  <c r="F83" i="2"/>
  <c r="C83" i="2"/>
  <c r="D89" i="2"/>
  <c r="E89" i="2"/>
  <c r="F89" i="2"/>
  <c r="C89" i="2"/>
  <c r="C88" i="2" s="1"/>
  <c r="D94" i="2"/>
  <c r="E94" i="2"/>
  <c r="F94" i="2"/>
  <c r="C94" i="2"/>
  <c r="D100" i="2"/>
  <c r="E100" i="2"/>
  <c r="F100" i="2"/>
  <c r="C100" i="2"/>
  <c r="D107" i="2"/>
  <c r="E107" i="2"/>
  <c r="F107" i="2"/>
  <c r="C107" i="2"/>
  <c r="C99" i="2" s="1"/>
  <c r="D114" i="2"/>
  <c r="E114" i="2"/>
  <c r="F114" i="2"/>
  <c r="C114" i="2"/>
  <c r="D80" i="2"/>
  <c r="E80" i="2"/>
  <c r="F80" i="2"/>
  <c r="C80" i="2"/>
  <c r="E99" i="2" l="1"/>
  <c r="E88" i="2"/>
  <c r="D99" i="2"/>
  <c r="F99" i="2"/>
  <c r="F88" i="2"/>
  <c r="D88" i="2"/>
  <c r="C82" i="2"/>
  <c r="C79" i="2" s="1"/>
  <c r="F82" i="2"/>
  <c r="F79" i="2" s="1"/>
  <c r="E82" i="2"/>
  <c r="E79" i="2" s="1"/>
  <c r="F48" i="2"/>
  <c r="D82" i="2" l="1"/>
  <c r="D79" i="2" s="1"/>
  <c r="F27" i="2"/>
  <c r="F20" i="2" l="1"/>
  <c r="F76" i="2" l="1"/>
  <c r="F75" i="2" s="1"/>
  <c r="F72" i="2"/>
  <c r="F71" i="2" s="1"/>
  <c r="F69" i="2"/>
  <c r="F65" i="2" s="1"/>
  <c r="F63" i="2"/>
  <c r="F61" i="2"/>
  <c r="F46" i="2"/>
  <c r="G60" i="2"/>
  <c r="G62" i="2"/>
  <c r="G64" i="2"/>
  <c r="G66" i="2"/>
  <c r="G67" i="2"/>
  <c r="G68" i="2"/>
  <c r="G70" i="2"/>
  <c r="G73" i="2"/>
  <c r="G74" i="2"/>
  <c r="G77" i="2"/>
  <c r="G78" i="2"/>
  <c r="G81" i="2"/>
  <c r="G84" i="2"/>
  <c r="G85" i="2"/>
  <c r="G86" i="2"/>
  <c r="G87" i="2"/>
  <c r="G90" i="2"/>
  <c r="G91" i="2"/>
  <c r="G92" i="2"/>
  <c r="G93" i="2"/>
  <c r="G95" i="2"/>
  <c r="G96" i="2"/>
  <c r="G97" i="2"/>
  <c r="G98" i="2"/>
  <c r="G101" i="2"/>
  <c r="G102" i="2"/>
  <c r="G103" i="2"/>
  <c r="G104" i="2"/>
  <c r="G105" i="2"/>
  <c r="G106" i="2"/>
  <c r="G108" i="2"/>
  <c r="G109" i="2"/>
  <c r="G110" i="2"/>
  <c r="G111" i="2"/>
  <c r="G112" i="2"/>
  <c r="G113" i="2"/>
  <c r="G115" i="2"/>
  <c r="G116" i="2"/>
  <c r="G117" i="2"/>
  <c r="G118" i="2"/>
  <c r="G119" i="2"/>
  <c r="F44" i="2"/>
  <c r="F35" i="2"/>
  <c r="F31" i="2"/>
  <c r="F24" i="2"/>
  <c r="F14" i="2"/>
  <c r="F9" i="2"/>
  <c r="F10" i="2"/>
  <c r="D11" i="2"/>
  <c r="E11" i="2"/>
  <c r="F11" i="2"/>
  <c r="G12" i="2"/>
  <c r="G13" i="2"/>
  <c r="G15" i="2"/>
  <c r="G16" i="2"/>
  <c r="G17" i="2"/>
  <c r="G21" i="2"/>
  <c r="G22" i="2"/>
  <c r="G23" i="2"/>
  <c r="G25" i="2"/>
  <c r="G26" i="2"/>
  <c r="G28" i="2"/>
  <c r="G29" i="2"/>
  <c r="G32" i="2"/>
  <c r="G33" i="2"/>
  <c r="G34" i="2"/>
  <c r="G36" i="2"/>
  <c r="G37" i="2"/>
  <c r="G39" i="2"/>
  <c r="G40" i="2"/>
  <c r="G43" i="2"/>
  <c r="G45" i="2"/>
  <c r="G47" i="2"/>
  <c r="G49" i="2"/>
  <c r="G50" i="2"/>
  <c r="G51" i="2"/>
  <c r="G53" i="2"/>
  <c r="F59" i="2" l="1"/>
  <c r="F42" i="2"/>
  <c r="F41" i="2"/>
  <c r="F30" i="2"/>
  <c r="F19" i="2"/>
  <c r="F8" i="2"/>
  <c r="F18" i="2" l="1"/>
  <c r="F7" i="2"/>
  <c r="F6" i="2" s="1"/>
  <c r="F120" i="2" s="1"/>
  <c r="E69" i="2" l="1"/>
  <c r="E65" i="2" s="1"/>
  <c r="E61" i="2"/>
  <c r="C52" i="2"/>
  <c r="C46" i="2"/>
  <c r="G107" i="2" l="1"/>
  <c r="G83" i="2"/>
  <c r="G89" i="2"/>
  <c r="G114" i="2"/>
  <c r="G99" i="2"/>
  <c r="G100" i="2"/>
  <c r="G80" i="2"/>
  <c r="G94" i="2"/>
  <c r="C76" i="2"/>
  <c r="G76" i="2" s="1"/>
  <c r="E63" i="2"/>
  <c r="E59" i="2" s="1"/>
  <c r="C63" i="2"/>
  <c r="G88" i="2" l="1"/>
  <c r="E52" i="2"/>
  <c r="G52" i="2" s="1"/>
  <c r="G46" i="2"/>
  <c r="E44" i="2"/>
  <c r="G82" i="2" l="1"/>
  <c r="G79" i="2"/>
  <c r="E75" i="2"/>
  <c r="E72" i="2"/>
  <c r="E71" i="2" s="1"/>
  <c r="E48" i="2"/>
  <c r="E35" i="2"/>
  <c r="E31" i="2"/>
  <c r="E27" i="2"/>
  <c r="E24" i="2"/>
  <c r="E20" i="2"/>
  <c r="E14" i="2"/>
  <c r="E10" i="2"/>
  <c r="E9" i="2"/>
  <c r="E8" i="2" l="1"/>
  <c r="E19" i="2"/>
  <c r="E42" i="2"/>
  <c r="E30" i="2"/>
  <c r="E18" i="2" s="1"/>
  <c r="E7" i="2" s="1"/>
  <c r="E41" i="2" l="1"/>
  <c r="C20" i="2"/>
  <c r="C75" i="2"/>
  <c r="E6" i="2" l="1"/>
  <c r="E120" i="2" s="1"/>
  <c r="D10" i="2"/>
  <c r="D72" i="2"/>
  <c r="C72" i="2"/>
  <c r="D69" i="2"/>
  <c r="D65" i="2" s="1"/>
  <c r="C69" i="2"/>
  <c r="C65" i="2" s="1"/>
  <c r="D48" i="2"/>
  <c r="C48" i="2"/>
  <c r="D63" i="2"/>
  <c r="G63" i="2" s="1"/>
  <c r="G72" i="2" l="1"/>
  <c r="C71" i="2"/>
  <c r="G69" i="2"/>
  <c r="G48" i="2"/>
  <c r="G65" i="2"/>
  <c r="D75" i="2"/>
  <c r="D71" i="2" s="1"/>
  <c r="D61" i="2"/>
  <c r="D59" i="2" s="1"/>
  <c r="D44" i="2"/>
  <c r="G71" i="2" l="1"/>
  <c r="G75" i="2"/>
  <c r="D35" i="2"/>
  <c r="D31" i="2"/>
  <c r="D27" i="2"/>
  <c r="D24" i="2"/>
  <c r="D20" i="2"/>
  <c r="G20" i="2" s="1"/>
  <c r="D14" i="2"/>
  <c r="D9" i="2"/>
  <c r="D8" i="2" s="1"/>
  <c r="D42" i="2" l="1"/>
  <c r="D30" i="2"/>
  <c r="D19" i="2"/>
  <c r="D18" i="2" l="1"/>
  <c r="D41" i="2"/>
  <c r="C61" i="2"/>
  <c r="C59" i="2" s="1"/>
  <c r="C44" i="2"/>
  <c r="G44" i="2" s="1"/>
  <c r="G35" i="2"/>
  <c r="G31" i="2"/>
  <c r="C27" i="2"/>
  <c r="G27" i="2" s="1"/>
  <c r="C24" i="2"/>
  <c r="G24" i="2" s="1"/>
  <c r="C14" i="2"/>
  <c r="G14" i="2" s="1"/>
  <c r="C11" i="2"/>
  <c r="G11" i="2" s="1"/>
  <c r="C10" i="2"/>
  <c r="G10" i="2" s="1"/>
  <c r="C9" i="2"/>
  <c r="G9" i="2" l="1"/>
  <c r="C8" i="2"/>
  <c r="G8" i="2" s="1"/>
  <c r="G61" i="2"/>
  <c r="G59" i="2"/>
  <c r="D7" i="2"/>
  <c r="D6" i="2" s="1"/>
  <c r="D120" i="2" s="1"/>
  <c r="C19" i="2"/>
  <c r="G19" i="2" s="1"/>
  <c r="C30" i="2"/>
  <c r="C42" i="2"/>
  <c r="G42" i="2" s="1"/>
  <c r="C18" i="2" l="1"/>
  <c r="G30" i="2"/>
  <c r="C41" i="2"/>
  <c r="G41" i="2" s="1"/>
  <c r="C7" i="2" l="1"/>
  <c r="G7" i="2" s="1"/>
  <c r="G18" i="2"/>
  <c r="C6" i="2" l="1"/>
  <c r="C120" i="2" s="1"/>
  <c r="G120" i="2" s="1"/>
  <c r="G6" i="2" l="1"/>
</calcChain>
</file>

<file path=xl/sharedStrings.xml><?xml version="1.0" encoding="utf-8"?>
<sst xmlns="http://schemas.openxmlformats.org/spreadsheetml/2006/main" count="141" uniqueCount="84">
  <si>
    <t>(Rs million)</t>
  </si>
  <si>
    <t>I.</t>
  </si>
  <si>
    <t>CURRENT ACCOUNT</t>
  </si>
  <si>
    <t>A.</t>
  </si>
  <si>
    <t>Goods and Services</t>
  </si>
  <si>
    <t xml:space="preserve"> Goods</t>
  </si>
  <si>
    <t xml:space="preserve">    Exports</t>
  </si>
  <si>
    <t xml:space="preserve">    Imports</t>
  </si>
  <si>
    <t xml:space="preserve">      General Merchandise</t>
  </si>
  <si>
    <t xml:space="preserve">        Credit</t>
  </si>
  <si>
    <t xml:space="preserve">        Debit</t>
  </si>
  <si>
    <t xml:space="preserve">      Goods procured in Ports by Carriers</t>
  </si>
  <si>
    <t xml:space="preserve">       Non-monetary Gold</t>
  </si>
  <si>
    <t xml:space="preserve">  Services</t>
  </si>
  <si>
    <t xml:space="preserve">    Credit</t>
  </si>
  <si>
    <t xml:space="preserve">      Transportation</t>
  </si>
  <si>
    <t xml:space="preserve">        Passenger</t>
  </si>
  <si>
    <t xml:space="preserve">        Freight</t>
  </si>
  <si>
    <t xml:space="preserve">        Other</t>
  </si>
  <si>
    <t xml:space="preserve">      Travel</t>
  </si>
  <si>
    <t xml:space="preserve">        Business</t>
  </si>
  <si>
    <t xml:space="preserve">        Personal</t>
  </si>
  <si>
    <t xml:space="preserve">      Other Services</t>
  </si>
  <si>
    <t xml:space="preserve">        Private</t>
  </si>
  <si>
    <t xml:space="preserve">        Government</t>
  </si>
  <si>
    <t xml:space="preserve">    Debit</t>
  </si>
  <si>
    <t>B.</t>
  </si>
  <si>
    <t xml:space="preserve">  Income</t>
  </si>
  <si>
    <t xml:space="preserve">    Credit </t>
  </si>
  <si>
    <t xml:space="preserve">      Compensation of Employees</t>
  </si>
  <si>
    <t xml:space="preserve">      Direct Investment Income</t>
  </si>
  <si>
    <t xml:space="preserve">      o/w global business</t>
  </si>
  <si>
    <t xml:space="preserve">      Portfolio Investment Income</t>
  </si>
  <si>
    <t xml:space="preserve">      Other Investment Income</t>
  </si>
  <si>
    <t xml:space="preserve">         General Government</t>
  </si>
  <si>
    <t xml:space="preserve">         Monetary Authorities</t>
  </si>
  <si>
    <t xml:space="preserve">         Banks</t>
  </si>
  <si>
    <t xml:space="preserve">         Other Sectors</t>
  </si>
  <si>
    <t>Continued on next page</t>
  </si>
  <si>
    <t xml:space="preserve">      Compensation to employees</t>
  </si>
  <si>
    <t>C.</t>
  </si>
  <si>
    <t xml:space="preserve">  Current Transfers</t>
  </si>
  <si>
    <t xml:space="preserve">      Private</t>
  </si>
  <si>
    <t xml:space="preserve">      Government</t>
  </si>
  <si>
    <t>II.</t>
  </si>
  <si>
    <t>CAPITAL AND FINANCIAL ACCOUNT</t>
  </si>
  <si>
    <t>D.</t>
  </si>
  <si>
    <t xml:space="preserve">  Capital Account </t>
  </si>
  <si>
    <t xml:space="preserve">      Migrants' Transfers</t>
  </si>
  <si>
    <t>E.</t>
  </si>
  <si>
    <r>
      <t xml:space="preserve">  Financial Account </t>
    </r>
    <r>
      <rPr>
        <i/>
        <sz val="9"/>
        <rFont val="Arial"/>
        <family val="2"/>
      </rPr>
      <t/>
    </r>
  </si>
  <si>
    <t xml:space="preserve">    Direct Investment</t>
  </si>
  <si>
    <t xml:space="preserve">      Abroad</t>
  </si>
  <si>
    <t xml:space="preserve">      In Mauritius</t>
  </si>
  <si>
    <t xml:space="preserve">    Portfolio Investment </t>
  </si>
  <si>
    <t xml:space="preserve">      Assets</t>
  </si>
  <si>
    <t xml:space="preserve">       Equity Securities</t>
  </si>
  <si>
    <t xml:space="preserve">       Debt Securities</t>
  </si>
  <si>
    <t xml:space="preserve">     Liabilities</t>
  </si>
  <si>
    <t xml:space="preserve">     Assets</t>
  </si>
  <si>
    <t xml:space="preserve">   Other Investment </t>
  </si>
  <si>
    <t xml:space="preserve">       General Government</t>
  </si>
  <si>
    <t xml:space="preserve">       Monetary Authorities</t>
  </si>
  <si>
    <t xml:space="preserve">       Banks</t>
  </si>
  <si>
    <t xml:space="preserve">       Other Sectors: Long-term</t>
  </si>
  <si>
    <t xml:space="preserve">       Other Sectors: Short-term</t>
  </si>
  <si>
    <t xml:space="preserve">   Reserve Assets</t>
  </si>
  <si>
    <t xml:space="preserve">      Monetary Gold</t>
  </si>
  <si>
    <t xml:space="preserve">      Special Drawing Rights</t>
  </si>
  <si>
    <t xml:space="preserve">      Reserve Position in the Fund</t>
  </si>
  <si>
    <t xml:space="preserve">      Foreign Exchange</t>
  </si>
  <si>
    <t xml:space="preserve">      Other Claims</t>
  </si>
  <si>
    <t>III.</t>
  </si>
  <si>
    <t>NET ERRORS AND OMISSIONS</t>
  </si>
  <si>
    <t>Figures may not add up to totals due to rounding.</t>
  </si>
  <si>
    <t>Source : Research and Economic Analysis Department</t>
  </si>
  <si>
    <r>
      <rPr>
        <i/>
        <vertAlign val="superscript"/>
        <sz val="16"/>
        <rFont val="Segoe UI"/>
        <family val="2"/>
      </rPr>
      <t>1</t>
    </r>
    <r>
      <rPr>
        <i/>
        <sz val="16"/>
        <rFont val="Segoe UI"/>
        <family val="2"/>
      </rPr>
      <t xml:space="preserve"> Partially Revised Estimates.                                   </t>
    </r>
    <r>
      <rPr>
        <i/>
        <vertAlign val="superscript"/>
        <sz val="16"/>
        <rFont val="Segoe UI"/>
        <family val="2"/>
      </rPr>
      <t xml:space="preserve"> 2</t>
    </r>
    <r>
      <rPr>
        <i/>
        <sz val="16"/>
        <rFont val="Segoe UI"/>
        <family val="2"/>
      </rPr>
      <t xml:space="preserve"> Preliminary Estimates.</t>
    </r>
  </si>
  <si>
    <t>Table 51: Balance of Payments - Calendar Year 2015 and First Quarter 2016</t>
  </si>
  <si>
    <r>
      <t xml:space="preserve">2015 </t>
    </r>
    <r>
      <rPr>
        <b/>
        <vertAlign val="superscript"/>
        <sz val="18"/>
        <rFont val="Segoe UI"/>
        <family val="2"/>
      </rPr>
      <t>1</t>
    </r>
  </si>
  <si>
    <t xml:space="preserve">4th 
Quarter </t>
  </si>
  <si>
    <t xml:space="preserve">3rd
Quarter </t>
  </si>
  <si>
    <t xml:space="preserve">2nd
Quarter </t>
  </si>
  <si>
    <t xml:space="preserve">1st
Quarter </t>
  </si>
  <si>
    <r>
      <t xml:space="preserve">2016 </t>
    </r>
    <r>
      <rPr>
        <b/>
        <vertAlign val="superscript"/>
        <sz val="18"/>
        <rFont val="Segoe UI"/>
        <family val="2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</si>
</sst>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6" formatCode="_(* #,##0.0_);_(* \(#,##0.0\);_(* &quot;-&quot;??_);_(@_)"/>
    <numFmt numFmtId="167" formatCode="0.0"/>
  </numFmts>
  <fonts count="2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20"/>
      <name val="Segoe UI"/>
      <family val="2"/>
    </font>
    <font>
      <sz val="10"/>
      <name val="Segoe UI"/>
      <family val="2"/>
    </font>
    <font>
      <b/>
      <i/>
      <sz val="14"/>
      <name val="Segoe UI"/>
      <family val="2"/>
    </font>
    <font>
      <i/>
      <sz val="15"/>
      <name val="Segoe UI"/>
      <family val="2"/>
    </font>
    <font>
      <i/>
      <sz val="18"/>
      <name val="Segoe UI"/>
      <family val="2"/>
    </font>
    <font>
      <b/>
      <sz val="14"/>
      <name val="Segoe UI"/>
      <family val="2"/>
    </font>
    <font>
      <sz val="15"/>
      <name val="Segoe UI"/>
      <family val="2"/>
    </font>
    <font>
      <b/>
      <sz val="18"/>
      <name val="Segoe UI"/>
      <family val="2"/>
    </font>
    <font>
      <sz val="16"/>
      <name val="Segoe UI"/>
      <family val="2"/>
    </font>
    <font>
      <b/>
      <sz val="15"/>
      <name val="Segoe UI"/>
      <family val="2"/>
    </font>
    <font>
      <sz val="18"/>
      <name val="Segoe UI"/>
      <family val="2"/>
    </font>
    <font>
      <sz val="14"/>
      <name val="Segoe UI"/>
      <family val="2"/>
    </font>
    <font>
      <i/>
      <sz val="14"/>
      <name val="Segoe UI"/>
      <family val="2"/>
    </font>
    <font>
      <b/>
      <i/>
      <sz val="16"/>
      <name val="Segoe UI"/>
      <family val="2"/>
    </font>
    <font>
      <b/>
      <vertAlign val="superscript"/>
      <sz val="18"/>
      <name val="Segoe UI"/>
      <family val="2"/>
    </font>
    <font>
      <i/>
      <sz val="16"/>
      <name val="Segoe UI"/>
      <family val="2"/>
    </font>
    <font>
      <i/>
      <vertAlign val="superscript"/>
      <sz val="16"/>
      <name val="Segoe UI"/>
      <family val="2"/>
    </font>
  </fonts>
  <fills count="3">
    <fill>
      <patternFill patternType="none"/>
    </fill>
    <fill>
      <patternFill patternType="gray125"/>
    </fill>
    <fill>
      <patternFill patternType="lightGray">
        <fgColor indexed="22"/>
        <bgColor indexed="22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3">
    <xf numFmtId="0" fontId="0" fillId="0" borderId="0"/>
    <xf numFmtId="43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9" fontId="2" fillId="0" borderId="0" applyFont="0" applyFill="0" applyBorder="0" applyAlignment="0" applyProtection="0"/>
    <xf numFmtId="0" fontId="2" fillId="0" borderId="0"/>
  </cellStyleXfs>
  <cellXfs count="72">
    <xf numFmtId="0" fontId="0" fillId="0" borderId="0" xfId="0"/>
    <xf numFmtId="0" fontId="6" fillId="0" borderId="0" xfId="2" applyFont="1" applyAlignment="1">
      <alignment wrapText="1"/>
    </xf>
    <xf numFmtId="0" fontId="7" fillId="0" borderId="0" xfId="0" applyFont="1" applyAlignment="1"/>
    <xf numFmtId="0" fontId="8" fillId="0" borderId="0" xfId="2" applyFont="1" applyAlignment="1">
      <alignment horizontal="right"/>
    </xf>
    <xf numFmtId="0" fontId="9" fillId="0" borderId="0" xfId="2" applyFont="1" applyAlignment="1">
      <alignment horizontal="right"/>
    </xf>
    <xf numFmtId="3" fontId="10" fillId="0" borderId="0" xfId="0" applyNumberFormat="1" applyFont="1" applyBorder="1" applyAlignment="1">
      <alignment horizontal="right"/>
    </xf>
    <xf numFmtId="0" fontId="11" fillId="2" borderId="1" xfId="2" applyFont="1" applyFill="1" applyBorder="1" applyAlignment="1">
      <alignment horizontal="center"/>
    </xf>
    <xf numFmtId="0" fontId="12" fillId="2" borderId="2" xfId="2" applyFont="1" applyFill="1" applyBorder="1" applyAlignment="1">
      <alignment horizontal="center" vertical="top" wrapText="1"/>
    </xf>
    <xf numFmtId="0" fontId="14" fillId="0" borderId="0" xfId="0" applyFont="1" applyAlignment="1"/>
    <xf numFmtId="0" fontId="11" fillId="2" borderId="6" xfId="2" applyFont="1" applyFill="1" applyBorder="1" applyAlignment="1">
      <alignment horizontal="center"/>
    </xf>
    <xf numFmtId="0" fontId="12" fillId="2" borderId="7" xfId="2" applyFont="1" applyFill="1" applyBorder="1" applyAlignment="1">
      <alignment horizontal="center" vertical="top" wrapText="1"/>
    </xf>
    <xf numFmtId="0" fontId="13" fillId="2" borderId="8" xfId="2" applyFont="1" applyFill="1" applyBorder="1" applyAlignment="1">
      <alignment horizontal="center" vertical="center" wrapText="1"/>
    </xf>
    <xf numFmtId="0" fontId="13" fillId="2" borderId="16" xfId="2" applyFont="1" applyFill="1" applyBorder="1" applyAlignment="1">
      <alignment horizontal="center" vertical="center" wrapText="1"/>
    </xf>
    <xf numFmtId="0" fontId="11" fillId="2" borderId="9" xfId="2" applyFont="1" applyFill="1" applyBorder="1" applyAlignment="1"/>
    <xf numFmtId="0" fontId="12" fillId="2" borderId="10" xfId="2" applyFont="1" applyFill="1" applyBorder="1" applyAlignment="1">
      <alignment horizontal="center" vertical="top" wrapText="1"/>
    </xf>
    <xf numFmtId="0" fontId="12" fillId="0" borderId="12" xfId="0" applyFont="1" applyBorder="1" applyAlignment="1"/>
    <xf numFmtId="0" fontId="12" fillId="0" borderId="21" xfId="0" applyFont="1" applyBorder="1" applyAlignment="1"/>
    <xf numFmtId="0" fontId="12" fillId="0" borderId="0" xfId="0" applyFont="1" applyAlignment="1"/>
    <xf numFmtId="0" fontId="15" fillId="2" borderId="10" xfId="2" applyFont="1" applyFill="1" applyBorder="1" applyAlignment="1"/>
    <xf numFmtId="3" fontId="13" fillId="0" borderId="11" xfId="0" applyNumberFormat="1" applyFont="1" applyBorder="1" applyAlignment="1"/>
    <xf numFmtId="0" fontId="15" fillId="0" borderId="0" xfId="0" applyFont="1" applyAlignment="1"/>
    <xf numFmtId="0" fontId="12" fillId="2" borderId="10" xfId="2" applyFont="1" applyFill="1" applyBorder="1" applyAlignment="1"/>
    <xf numFmtId="3" fontId="16" fillId="0" borderId="11" xfId="0" applyNumberFormat="1" applyFont="1" applyFill="1" applyBorder="1" applyAlignment="1"/>
    <xf numFmtId="3" fontId="16" fillId="0" borderId="11" xfId="2" applyNumberFormat="1" applyFont="1" applyFill="1" applyBorder="1" applyAlignment="1"/>
    <xf numFmtId="0" fontId="17" fillId="2" borderId="9" xfId="2" applyFont="1" applyFill="1" applyBorder="1" applyAlignment="1"/>
    <xf numFmtId="3" fontId="13" fillId="0" borderId="11" xfId="0" applyNumberFormat="1" applyFont="1" applyFill="1" applyBorder="1" applyAlignment="1"/>
    <xf numFmtId="0" fontId="18" fillId="2" borderId="9" xfId="2" applyFont="1" applyFill="1" applyBorder="1" applyAlignment="1"/>
    <xf numFmtId="0" fontId="9" fillId="2" borderId="10" xfId="2" applyFont="1" applyFill="1" applyBorder="1" applyAlignment="1"/>
    <xf numFmtId="3" fontId="10" fillId="0" borderId="11" xfId="2" applyNumberFormat="1" applyFont="1" applyFill="1" applyBorder="1" applyAlignment="1"/>
    <xf numFmtId="0" fontId="9" fillId="0" borderId="0" xfId="0" applyFont="1" applyAlignment="1"/>
    <xf numFmtId="0" fontId="8" fillId="2" borderId="9" xfId="2" applyFont="1" applyFill="1" applyBorder="1" applyAlignment="1"/>
    <xf numFmtId="3" fontId="12" fillId="0" borderId="0" xfId="0" applyNumberFormat="1" applyFont="1" applyAlignment="1"/>
    <xf numFmtId="3" fontId="16" fillId="0" borderId="11" xfId="1" applyNumberFormat="1" applyFont="1" applyFill="1" applyBorder="1" applyAlignment="1"/>
    <xf numFmtId="3" fontId="10" fillId="0" borderId="11" xfId="0" applyNumberFormat="1" applyFont="1" applyFill="1" applyBorder="1" applyAlignment="1"/>
    <xf numFmtId="3" fontId="13" fillId="0" borderId="11" xfId="2" applyNumberFormat="1" applyFont="1" applyFill="1" applyBorder="1" applyAlignment="1"/>
    <xf numFmtId="0" fontId="8" fillId="2" borderId="17" xfId="2" applyFont="1" applyFill="1" applyBorder="1" applyAlignment="1"/>
    <xf numFmtId="3" fontId="9" fillId="0" borderId="0" xfId="0" applyNumberFormat="1" applyFont="1" applyAlignment="1"/>
    <xf numFmtId="0" fontId="8" fillId="2" borderId="13" xfId="2" applyFont="1" applyFill="1" applyBorder="1" applyAlignment="1"/>
    <xf numFmtId="0" fontId="9" fillId="2" borderId="14" xfId="2" applyFont="1" applyFill="1" applyBorder="1" applyAlignment="1"/>
    <xf numFmtId="3" fontId="10" fillId="0" borderId="15" xfId="2" applyNumberFormat="1" applyFont="1" applyFill="1" applyBorder="1" applyAlignment="1"/>
    <xf numFmtId="1" fontId="19" fillId="0" borderId="0" xfId="0" applyNumberFormat="1" applyFont="1" applyAlignment="1"/>
    <xf numFmtId="0" fontId="18" fillId="0" borderId="0" xfId="0" applyFont="1" applyAlignment="1"/>
    <xf numFmtId="0" fontId="15" fillId="2" borderId="2" xfId="2" applyFont="1" applyFill="1" applyBorder="1" applyAlignment="1">
      <alignment horizontal="center"/>
    </xf>
    <xf numFmtId="0" fontId="15" fillId="2" borderId="7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top" wrapText="1"/>
    </xf>
    <xf numFmtId="0" fontId="12" fillId="0" borderId="20" xfId="0" applyFont="1" applyBorder="1" applyAlignment="1"/>
    <xf numFmtId="0" fontId="11" fillId="2" borderId="17" xfId="2" applyFont="1" applyFill="1" applyBorder="1" applyAlignment="1"/>
    <xf numFmtId="3" fontId="16" fillId="0" borderId="11" xfId="0" applyNumberFormat="1" applyFont="1" applyBorder="1" applyAlignment="1"/>
    <xf numFmtId="3" fontId="13" fillId="0" borderId="11" xfId="2" applyNumberFormat="1" applyFont="1" applyBorder="1" applyAlignment="1"/>
    <xf numFmtId="3" fontId="10" fillId="0" borderId="11" xfId="0" applyNumberFormat="1" applyFont="1" applyBorder="1" applyAlignment="1"/>
    <xf numFmtId="0" fontId="12" fillId="0" borderId="0" xfId="0" applyFont="1" applyFill="1" applyAlignment="1"/>
    <xf numFmtId="0" fontId="11" fillId="2" borderId="13" xfId="2" applyFont="1" applyFill="1" applyBorder="1" applyAlignment="1"/>
    <xf numFmtId="0" fontId="15" fillId="2" borderId="14" xfId="2" applyFont="1" applyFill="1" applyBorder="1" applyAlignment="1"/>
    <xf numFmtId="3" fontId="12" fillId="0" borderId="15" xfId="0" applyNumberFormat="1" applyFont="1" applyBorder="1" applyAlignment="1"/>
    <xf numFmtId="0" fontId="12" fillId="0" borderId="15" xfId="0" applyFont="1" applyBorder="1" applyAlignment="1"/>
    <xf numFmtId="0" fontId="12" fillId="0" borderId="18" xfId="0" applyFont="1" applyBorder="1" applyAlignment="1"/>
    <xf numFmtId="0" fontId="21" fillId="0" borderId="0" xfId="0" applyFont="1" applyAlignment="1"/>
    <xf numFmtId="43" fontId="16" fillId="0" borderId="0" xfId="1" applyNumberFormat="1" applyFont="1" applyFill="1" applyAlignment="1"/>
    <xf numFmtId="166" fontId="16" fillId="0" borderId="0" xfId="1" applyNumberFormat="1" applyFont="1" applyFill="1" applyAlignment="1"/>
    <xf numFmtId="0" fontId="17" fillId="0" borderId="0" xfId="0" applyFont="1" applyAlignment="1"/>
    <xf numFmtId="167" fontId="15" fillId="0" borderId="0" xfId="0" applyNumberFormat="1" applyFont="1" applyAlignment="1"/>
    <xf numFmtId="0" fontId="16" fillId="0" borderId="11" xfId="0" applyFont="1" applyBorder="1" applyAlignment="1"/>
    <xf numFmtId="0" fontId="13" fillId="2" borderId="8" xfId="2" applyFont="1" applyFill="1" applyBorder="1" applyAlignment="1">
      <alignment horizontal="center" vertical="center" wrapText="1"/>
    </xf>
    <xf numFmtId="0" fontId="6" fillId="0" borderId="0" xfId="2" applyFont="1" applyAlignment="1">
      <alignment wrapText="1"/>
    </xf>
    <xf numFmtId="0" fontId="13" fillId="2" borderId="3" xfId="2" applyFont="1" applyFill="1" applyBorder="1" applyAlignment="1">
      <alignment horizontal="center" vertical="center" wrapText="1"/>
    </xf>
    <xf numFmtId="0" fontId="13" fillId="2" borderId="8" xfId="2" applyFont="1" applyFill="1" applyBorder="1" applyAlignment="1">
      <alignment horizontal="center" vertical="center" wrapText="1"/>
    </xf>
    <xf numFmtId="0" fontId="13" fillId="2" borderId="4" xfId="2" applyFont="1" applyFill="1" applyBorder="1" applyAlignment="1">
      <alignment horizontal="center" vertical="center" wrapText="1"/>
    </xf>
    <xf numFmtId="0" fontId="13" fillId="2" borderId="5" xfId="2" applyFont="1" applyFill="1" applyBorder="1" applyAlignment="1">
      <alignment horizontal="center" vertical="center" wrapText="1"/>
    </xf>
    <xf numFmtId="0" fontId="13" fillId="2" borderId="19" xfId="2" applyFont="1" applyFill="1" applyBorder="1" applyAlignment="1">
      <alignment horizontal="center" vertical="center" wrapText="1"/>
    </xf>
    <xf numFmtId="0" fontId="6" fillId="0" borderId="0" xfId="2" applyFont="1" applyAlignment="1">
      <alignment wrapText="1"/>
    </xf>
    <xf numFmtId="0" fontId="0" fillId="0" borderId="0" xfId="0" applyAlignment="1">
      <alignment wrapText="1"/>
    </xf>
    <xf numFmtId="0" fontId="13" fillId="2" borderId="22" xfId="2" applyFont="1" applyFill="1" applyBorder="1" applyAlignment="1">
      <alignment horizontal="center" vertical="center"/>
    </xf>
  </cellXfs>
  <cellStyles count="33">
    <cellStyle name="Comma" xfId="1" builtinId="3"/>
    <cellStyle name="Comma 2" xfId="3"/>
    <cellStyle name="Comma 3" xfId="6"/>
    <cellStyle name="Comma 5" xfId="7"/>
    <cellStyle name="Hyperlink 2" xfId="8"/>
    <cellStyle name="Normal" xfId="0" builtinId="0"/>
    <cellStyle name="Normal 10" xfId="9"/>
    <cellStyle name="Normal 144" xfId="32"/>
    <cellStyle name="Normal 2" xfId="5"/>
    <cellStyle name="Normal 2 2" xfId="10"/>
    <cellStyle name="Normal 2 2 2" xfId="11"/>
    <cellStyle name="Normal 2 3" xfId="12"/>
    <cellStyle name="Normal 2 3 2" xfId="13"/>
    <cellStyle name="Normal 2 4" xfId="14"/>
    <cellStyle name="Normal 2 4 2" xfId="15"/>
    <cellStyle name="Normal 2 4 3" xfId="16"/>
    <cellStyle name="Normal 2 5" xfId="4"/>
    <cellStyle name="Normal 3" xfId="17"/>
    <cellStyle name="Normal 3 2" xfId="18"/>
    <cellStyle name="Normal 4" xfId="19"/>
    <cellStyle name="Normal 5" xfId="20"/>
    <cellStyle name="Normal 5 2" xfId="21"/>
    <cellStyle name="Normal 5 3" xfId="22"/>
    <cellStyle name="Normal 5 3 2" xfId="23"/>
    <cellStyle name="Normal 5 3 3" xfId="24"/>
    <cellStyle name="Normal 6" xfId="25"/>
    <cellStyle name="Normal 6 2" xfId="26"/>
    <cellStyle name="Normal 6 3" xfId="27"/>
    <cellStyle name="Normal 6 3 2" xfId="28"/>
    <cellStyle name="Normal 6 3 3" xfId="29"/>
    <cellStyle name="Normal 7" xfId="30"/>
    <cellStyle name="Normal_Quarterly BOP 2001" xfId="2"/>
    <cellStyle name="Percent 2" xfId="3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8"/>
  <sheetViews>
    <sheetView tabSelected="1" view="pageBreakPreview" topLeftCell="A109" zoomScale="70" zoomScaleNormal="60" zoomScaleSheetLayoutView="70" workbookViewId="0">
      <selection activeCell="E127" sqref="E127"/>
    </sheetView>
  </sheetViews>
  <sheetFormatPr defaultRowHeight="24" x14ac:dyDescent="0.45"/>
  <cols>
    <col min="1" max="1" width="7.5703125" style="59" customWidth="1"/>
    <col min="2" max="2" width="57.28515625" style="17" customWidth="1"/>
    <col min="3" max="8" width="20.7109375" style="2" customWidth="1"/>
    <col min="9" max="10" width="9.140625" style="2"/>
    <col min="11" max="11" width="10.140625" style="2" bestFit="1" customWidth="1"/>
    <col min="12" max="12" width="10.5703125" style="2" bestFit="1" customWidth="1"/>
    <col min="13" max="16384" width="9.140625" style="2"/>
  </cols>
  <sheetData>
    <row r="1" spans="1:11" ht="46.5" customHeight="1" x14ac:dyDescent="0.55000000000000004">
      <c r="A1" s="69" t="s">
        <v>77</v>
      </c>
      <c r="B1" s="70"/>
      <c r="C1" s="70"/>
      <c r="D1" s="70"/>
      <c r="E1" s="70"/>
      <c r="F1" s="70"/>
      <c r="G1" s="1"/>
      <c r="H1" s="63"/>
    </row>
    <row r="2" spans="1:11" ht="34.5" customHeight="1" thickBot="1" x14ac:dyDescent="0.5">
      <c r="A2" s="3"/>
      <c r="B2" s="4"/>
      <c r="C2" s="5"/>
      <c r="D2" s="5"/>
      <c r="E2" s="5"/>
      <c r="F2" s="5"/>
      <c r="H2" s="5" t="s">
        <v>0</v>
      </c>
    </row>
    <row r="3" spans="1:11" s="8" customFormat="1" ht="46.5" customHeight="1" thickBot="1" x14ac:dyDescent="0.55000000000000004">
      <c r="A3" s="6"/>
      <c r="B3" s="7"/>
      <c r="C3" s="66" t="s">
        <v>78</v>
      </c>
      <c r="D3" s="67"/>
      <c r="E3" s="67"/>
      <c r="F3" s="68"/>
      <c r="G3" s="64" t="s">
        <v>78</v>
      </c>
      <c r="H3" s="71" t="s">
        <v>83</v>
      </c>
    </row>
    <row r="4" spans="1:11" s="8" customFormat="1" ht="63" customHeight="1" x14ac:dyDescent="0.5">
      <c r="A4" s="9"/>
      <c r="B4" s="10"/>
      <c r="C4" s="11" t="s">
        <v>82</v>
      </c>
      <c r="D4" s="11" t="s">
        <v>81</v>
      </c>
      <c r="E4" s="11" t="s">
        <v>80</v>
      </c>
      <c r="F4" s="12" t="s">
        <v>79</v>
      </c>
      <c r="G4" s="65"/>
      <c r="H4" s="62" t="s">
        <v>82</v>
      </c>
    </row>
    <row r="5" spans="1:11" s="17" customFormat="1" ht="17.25" customHeight="1" x14ac:dyDescent="0.45">
      <c r="A5" s="13"/>
      <c r="B5" s="14"/>
      <c r="C5" s="15"/>
      <c r="D5" s="15"/>
      <c r="E5" s="15"/>
      <c r="F5" s="15"/>
      <c r="G5" s="16"/>
      <c r="H5" s="16"/>
    </row>
    <row r="6" spans="1:11" s="20" customFormat="1" ht="27.75" customHeight="1" x14ac:dyDescent="0.45">
      <c r="A6" s="13" t="s">
        <v>1</v>
      </c>
      <c r="B6" s="18" t="s">
        <v>2</v>
      </c>
      <c r="C6" s="19">
        <f t="shared" ref="C6" si="0">C7+C41+C71</f>
        <v>-6299</v>
      </c>
      <c r="D6" s="19">
        <f t="shared" ref="D6:E6" si="1">D7+D41+D71</f>
        <v>-5227.0467312402325</v>
      </c>
      <c r="E6" s="19">
        <f t="shared" si="1"/>
        <v>-5964</v>
      </c>
      <c r="F6" s="19">
        <f>F7+F41+F71</f>
        <v>-2214</v>
      </c>
      <c r="G6" s="19">
        <f>C6+D6+E6+F6</f>
        <v>-19704.046731240232</v>
      </c>
      <c r="H6" s="19">
        <v>-2507</v>
      </c>
      <c r="K6" s="60"/>
    </row>
    <row r="7" spans="1:11" s="20" customFormat="1" ht="27.75" customHeight="1" x14ac:dyDescent="0.45">
      <c r="A7" s="13" t="s">
        <v>3</v>
      </c>
      <c r="B7" s="18" t="s">
        <v>4</v>
      </c>
      <c r="C7" s="19">
        <f>C8+C18</f>
        <v>-8738</v>
      </c>
      <c r="D7" s="19">
        <f t="shared" ref="D7:E7" si="2">D8+D18</f>
        <v>-10271</v>
      </c>
      <c r="E7" s="19">
        <f t="shared" si="2"/>
        <v>-12126</v>
      </c>
      <c r="F7" s="19">
        <f t="shared" ref="F7" si="3">F8+F18</f>
        <v>-12400</v>
      </c>
      <c r="G7" s="19">
        <f t="shared" ref="G7:G53" si="4">C7+D7+E7+F7</f>
        <v>-43535</v>
      </c>
      <c r="H7" s="19">
        <v>-5079</v>
      </c>
    </row>
    <row r="8" spans="1:11" s="20" customFormat="1" ht="27.75" customHeight="1" x14ac:dyDescent="0.45">
      <c r="A8" s="13"/>
      <c r="B8" s="18" t="s">
        <v>5</v>
      </c>
      <c r="C8" s="19">
        <f>C9+C10</f>
        <v>-14241</v>
      </c>
      <c r="D8" s="19">
        <f>D9+D10</f>
        <v>-15501</v>
      </c>
      <c r="E8" s="19">
        <f>E9+E10</f>
        <v>-15520</v>
      </c>
      <c r="F8" s="19">
        <f>F9+F10</f>
        <v>-19368</v>
      </c>
      <c r="G8" s="19">
        <f t="shared" si="4"/>
        <v>-64630</v>
      </c>
      <c r="H8" s="19">
        <v>-14159</v>
      </c>
    </row>
    <row r="9" spans="1:11" s="17" customFormat="1" ht="27.75" customHeight="1" x14ac:dyDescent="0.45">
      <c r="A9" s="13"/>
      <c r="B9" s="21" t="s">
        <v>6</v>
      </c>
      <c r="C9" s="22">
        <f t="shared" ref="C9:C10" si="5">C12+C15</f>
        <v>22484</v>
      </c>
      <c r="D9" s="22">
        <f t="shared" ref="D9:E9" si="6">D12+D15</f>
        <v>25063</v>
      </c>
      <c r="E9" s="22">
        <f t="shared" si="6"/>
        <v>24032</v>
      </c>
      <c r="F9" s="22">
        <f t="shared" ref="F9" si="7">F12+F15</f>
        <v>22529</v>
      </c>
      <c r="G9" s="22">
        <f t="shared" si="4"/>
        <v>94108</v>
      </c>
      <c r="H9" s="22">
        <v>21158</v>
      </c>
    </row>
    <row r="10" spans="1:11" s="17" customFormat="1" ht="27.75" customHeight="1" x14ac:dyDescent="0.45">
      <c r="A10" s="13"/>
      <c r="B10" s="21" t="s">
        <v>7</v>
      </c>
      <c r="C10" s="23">
        <f t="shared" si="5"/>
        <v>-36725</v>
      </c>
      <c r="D10" s="23">
        <f>D13+D16</f>
        <v>-40564</v>
      </c>
      <c r="E10" s="23">
        <f>E13+E16</f>
        <v>-39552</v>
      </c>
      <c r="F10" s="23">
        <f>F13+F16</f>
        <v>-41897</v>
      </c>
      <c r="G10" s="23">
        <f t="shared" si="4"/>
        <v>-158738</v>
      </c>
      <c r="H10" s="23">
        <v>-35317</v>
      </c>
    </row>
    <row r="11" spans="1:11" s="17" customFormat="1" ht="27.75" customHeight="1" x14ac:dyDescent="0.45">
      <c r="A11" s="13"/>
      <c r="B11" s="21" t="s">
        <v>8</v>
      </c>
      <c r="C11" s="22">
        <f t="shared" ref="C11:F11" si="8">C12+C13</f>
        <v>-15608</v>
      </c>
      <c r="D11" s="22">
        <f t="shared" si="8"/>
        <v>-17094</v>
      </c>
      <c r="E11" s="22">
        <f t="shared" si="8"/>
        <v>-16815</v>
      </c>
      <c r="F11" s="22">
        <f t="shared" si="8"/>
        <v>-20919</v>
      </c>
      <c r="G11" s="22">
        <f t="shared" si="4"/>
        <v>-70436</v>
      </c>
      <c r="H11" s="22">
        <v>-15295</v>
      </c>
    </row>
    <row r="12" spans="1:11" s="17" customFormat="1" ht="27.75" customHeight="1" x14ac:dyDescent="0.45">
      <c r="A12" s="13"/>
      <c r="B12" s="21" t="s">
        <v>9</v>
      </c>
      <c r="C12" s="22">
        <v>20584</v>
      </c>
      <c r="D12" s="22">
        <v>22913</v>
      </c>
      <c r="E12" s="22">
        <v>22132</v>
      </c>
      <c r="F12" s="22">
        <v>20479</v>
      </c>
      <c r="G12" s="22">
        <f t="shared" si="4"/>
        <v>86108</v>
      </c>
      <c r="H12" s="22">
        <v>19658</v>
      </c>
    </row>
    <row r="13" spans="1:11" s="17" customFormat="1" ht="27.75" customHeight="1" x14ac:dyDescent="0.45">
      <c r="A13" s="13"/>
      <c r="B13" s="21" t="s">
        <v>10</v>
      </c>
      <c r="C13" s="22">
        <v>-36192</v>
      </c>
      <c r="D13" s="22">
        <v>-40007</v>
      </c>
      <c r="E13" s="22">
        <v>-38947</v>
      </c>
      <c r="F13" s="22">
        <v>-41398</v>
      </c>
      <c r="G13" s="22">
        <f t="shared" si="4"/>
        <v>-156544</v>
      </c>
      <c r="H13" s="22">
        <v>-34953</v>
      </c>
    </row>
    <row r="14" spans="1:11" s="17" customFormat="1" ht="27.75" customHeight="1" x14ac:dyDescent="0.45">
      <c r="A14" s="24"/>
      <c r="B14" s="21" t="s">
        <v>11</v>
      </c>
      <c r="C14" s="23">
        <f t="shared" ref="C14" si="9">C15+C16</f>
        <v>1367</v>
      </c>
      <c r="D14" s="23">
        <f t="shared" ref="D14:F14" si="10">D15+D16</f>
        <v>1593</v>
      </c>
      <c r="E14" s="23">
        <f t="shared" si="10"/>
        <v>1295</v>
      </c>
      <c r="F14" s="23">
        <f t="shared" si="10"/>
        <v>1551</v>
      </c>
      <c r="G14" s="23">
        <f t="shared" si="4"/>
        <v>5806</v>
      </c>
      <c r="H14" s="23">
        <v>1136</v>
      </c>
    </row>
    <row r="15" spans="1:11" s="17" customFormat="1" ht="27.75" customHeight="1" x14ac:dyDescent="0.45">
      <c r="A15" s="13"/>
      <c r="B15" s="21" t="s">
        <v>9</v>
      </c>
      <c r="C15" s="22">
        <v>1900</v>
      </c>
      <c r="D15" s="22">
        <v>2150</v>
      </c>
      <c r="E15" s="22">
        <v>1900</v>
      </c>
      <c r="F15" s="22">
        <v>2050</v>
      </c>
      <c r="G15" s="22">
        <f t="shared" si="4"/>
        <v>8000</v>
      </c>
      <c r="H15" s="22">
        <v>1500</v>
      </c>
    </row>
    <row r="16" spans="1:11" s="17" customFormat="1" ht="27.75" customHeight="1" x14ac:dyDescent="0.45">
      <c r="A16" s="13"/>
      <c r="B16" s="21" t="s">
        <v>10</v>
      </c>
      <c r="C16" s="23">
        <v>-533</v>
      </c>
      <c r="D16" s="23">
        <v>-557</v>
      </c>
      <c r="E16" s="23">
        <v>-605</v>
      </c>
      <c r="F16" s="23">
        <v>-499</v>
      </c>
      <c r="G16" s="23">
        <f t="shared" si="4"/>
        <v>-2194</v>
      </c>
      <c r="H16" s="23">
        <v>-364</v>
      </c>
    </row>
    <row r="17" spans="1:10" s="17" customFormat="1" ht="27.75" customHeight="1" x14ac:dyDescent="0.45">
      <c r="A17" s="13"/>
      <c r="B17" s="21" t="s">
        <v>12</v>
      </c>
      <c r="C17" s="22">
        <v>-192</v>
      </c>
      <c r="D17" s="22">
        <v>-231</v>
      </c>
      <c r="E17" s="22">
        <v>-177</v>
      </c>
      <c r="F17" s="22">
        <v>-151</v>
      </c>
      <c r="G17" s="22">
        <f t="shared" si="4"/>
        <v>-751</v>
      </c>
      <c r="H17" s="22">
        <v>-195</v>
      </c>
    </row>
    <row r="18" spans="1:10" s="20" customFormat="1" ht="27.75" customHeight="1" x14ac:dyDescent="0.45">
      <c r="A18" s="13"/>
      <c r="B18" s="18" t="s">
        <v>13</v>
      </c>
      <c r="C18" s="25">
        <f>C19+C30</f>
        <v>5503</v>
      </c>
      <c r="D18" s="25">
        <f t="shared" ref="D18:F18" si="11">D19+D30</f>
        <v>5230</v>
      </c>
      <c r="E18" s="25">
        <f t="shared" si="11"/>
        <v>3394</v>
      </c>
      <c r="F18" s="25">
        <f t="shared" si="11"/>
        <v>6968</v>
      </c>
      <c r="G18" s="25">
        <f t="shared" si="4"/>
        <v>21095</v>
      </c>
      <c r="H18" s="25">
        <v>9080</v>
      </c>
    </row>
    <row r="19" spans="1:10" s="17" customFormat="1" ht="27.75" customHeight="1" x14ac:dyDescent="0.45">
      <c r="A19" s="13"/>
      <c r="B19" s="21" t="s">
        <v>14</v>
      </c>
      <c r="C19" s="23">
        <f t="shared" ref="C19" si="12">C20+C24+C27</f>
        <v>25046</v>
      </c>
      <c r="D19" s="23">
        <f t="shared" ref="D19:F19" si="13">D20+D24+D27</f>
        <v>23993</v>
      </c>
      <c r="E19" s="23">
        <f t="shared" si="13"/>
        <v>23387</v>
      </c>
      <c r="F19" s="23">
        <f t="shared" si="13"/>
        <v>27209</v>
      </c>
      <c r="G19" s="23">
        <f t="shared" si="4"/>
        <v>99635</v>
      </c>
      <c r="H19" s="23">
        <v>26540</v>
      </c>
    </row>
    <row r="20" spans="1:10" s="17" customFormat="1" ht="27.75" customHeight="1" x14ac:dyDescent="0.45">
      <c r="A20" s="13"/>
      <c r="B20" s="21" t="s">
        <v>15</v>
      </c>
      <c r="C20" s="22">
        <f>SUM(C21:C23)</f>
        <v>3121</v>
      </c>
      <c r="D20" s="22">
        <f t="shared" ref="D20:E20" si="14">SUM(D21:D23)</f>
        <v>2451</v>
      </c>
      <c r="E20" s="22">
        <f t="shared" si="14"/>
        <v>2975</v>
      </c>
      <c r="F20" s="22">
        <f>SUM(F21:F23)</f>
        <v>3300</v>
      </c>
      <c r="G20" s="22">
        <f t="shared" si="4"/>
        <v>11847</v>
      </c>
      <c r="H20" s="22">
        <v>3263</v>
      </c>
    </row>
    <row r="21" spans="1:10" s="29" customFormat="1" ht="27.75" customHeight="1" x14ac:dyDescent="0.45">
      <c r="A21" s="26"/>
      <c r="B21" s="27" t="s">
        <v>16</v>
      </c>
      <c r="C21" s="28">
        <v>2236</v>
      </c>
      <c r="D21" s="28">
        <v>1669</v>
      </c>
      <c r="E21" s="28">
        <v>2270</v>
      </c>
      <c r="F21" s="28">
        <v>2488</v>
      </c>
      <c r="G21" s="28">
        <f t="shared" si="4"/>
        <v>8663</v>
      </c>
      <c r="H21" s="28">
        <v>2346</v>
      </c>
    </row>
    <row r="22" spans="1:10" s="29" customFormat="1" ht="27.75" customHeight="1" x14ac:dyDescent="0.45">
      <c r="A22" s="26"/>
      <c r="B22" s="27" t="s">
        <v>17</v>
      </c>
      <c r="C22" s="28">
        <v>180</v>
      </c>
      <c r="D22" s="28">
        <v>178</v>
      </c>
      <c r="E22" s="28">
        <v>145</v>
      </c>
      <c r="F22" s="28">
        <v>199</v>
      </c>
      <c r="G22" s="28">
        <f t="shared" si="4"/>
        <v>702</v>
      </c>
      <c r="H22" s="28">
        <v>184</v>
      </c>
    </row>
    <row r="23" spans="1:10" s="29" customFormat="1" ht="27.75" customHeight="1" x14ac:dyDescent="0.45">
      <c r="A23" s="26"/>
      <c r="B23" s="27" t="s">
        <v>18</v>
      </c>
      <c r="C23" s="28">
        <v>705</v>
      </c>
      <c r="D23" s="28">
        <v>604</v>
      </c>
      <c r="E23" s="28">
        <v>560</v>
      </c>
      <c r="F23" s="28">
        <v>613</v>
      </c>
      <c r="G23" s="28">
        <f t="shared" si="4"/>
        <v>2482</v>
      </c>
      <c r="H23" s="28">
        <v>733</v>
      </c>
    </row>
    <row r="24" spans="1:10" s="17" customFormat="1" ht="27.75" customHeight="1" x14ac:dyDescent="0.45">
      <c r="A24" s="24"/>
      <c r="B24" s="21" t="s">
        <v>19</v>
      </c>
      <c r="C24" s="23">
        <f t="shared" ref="C24" si="15">C25+C26</f>
        <v>13172</v>
      </c>
      <c r="D24" s="23">
        <f t="shared" ref="D24:F24" si="16">D25+D26</f>
        <v>11068</v>
      </c>
      <c r="E24" s="23">
        <f t="shared" si="16"/>
        <v>10929</v>
      </c>
      <c r="F24" s="23">
        <f t="shared" si="16"/>
        <v>15022</v>
      </c>
      <c r="G24" s="23">
        <f t="shared" si="4"/>
        <v>50191</v>
      </c>
      <c r="H24" s="23">
        <v>15003</v>
      </c>
    </row>
    <row r="25" spans="1:10" s="29" customFormat="1" ht="27.75" customHeight="1" x14ac:dyDescent="0.45">
      <c r="A25" s="26"/>
      <c r="B25" s="27" t="s">
        <v>20</v>
      </c>
      <c r="C25" s="28">
        <v>4182</v>
      </c>
      <c r="D25" s="28">
        <v>3659</v>
      </c>
      <c r="E25" s="28">
        <v>3010</v>
      </c>
      <c r="F25" s="28">
        <v>4876</v>
      </c>
      <c r="G25" s="28">
        <f t="shared" si="4"/>
        <v>15727</v>
      </c>
      <c r="H25" s="28">
        <v>5114</v>
      </c>
    </row>
    <row r="26" spans="1:10" s="29" customFormat="1" ht="27.75" customHeight="1" x14ac:dyDescent="0.45">
      <c r="A26" s="30"/>
      <c r="B26" s="27" t="s">
        <v>21</v>
      </c>
      <c r="C26" s="28">
        <v>8990</v>
      </c>
      <c r="D26" s="28">
        <v>7409</v>
      </c>
      <c r="E26" s="28">
        <v>7919</v>
      </c>
      <c r="F26" s="28">
        <v>10146</v>
      </c>
      <c r="G26" s="28">
        <f t="shared" si="4"/>
        <v>34464</v>
      </c>
      <c r="H26" s="28">
        <v>9889</v>
      </c>
    </row>
    <row r="27" spans="1:10" s="17" customFormat="1" ht="27.75" customHeight="1" x14ac:dyDescent="0.45">
      <c r="A27" s="13"/>
      <c r="B27" s="21" t="s">
        <v>22</v>
      </c>
      <c r="C27" s="23">
        <f t="shared" ref="C27" si="17">C28+C29</f>
        <v>8753</v>
      </c>
      <c r="D27" s="23">
        <f t="shared" ref="D27:E27" si="18">D28+D29</f>
        <v>10474</v>
      </c>
      <c r="E27" s="23">
        <f t="shared" si="18"/>
        <v>9483</v>
      </c>
      <c r="F27" s="23">
        <f>F28+F29</f>
        <v>8887</v>
      </c>
      <c r="G27" s="23">
        <f t="shared" si="4"/>
        <v>37597</v>
      </c>
      <c r="H27" s="23">
        <v>8274</v>
      </c>
      <c r="J27" s="31"/>
    </row>
    <row r="28" spans="1:10" s="29" customFormat="1" ht="27.75" customHeight="1" x14ac:dyDescent="0.45">
      <c r="A28" s="26"/>
      <c r="B28" s="27" t="s">
        <v>23</v>
      </c>
      <c r="C28" s="28">
        <v>8357</v>
      </c>
      <c r="D28" s="28">
        <v>10157</v>
      </c>
      <c r="E28" s="28">
        <v>9097</v>
      </c>
      <c r="F28" s="28">
        <v>8547</v>
      </c>
      <c r="G28" s="28">
        <f t="shared" si="4"/>
        <v>36158</v>
      </c>
      <c r="H28" s="28">
        <v>8060</v>
      </c>
    </row>
    <row r="29" spans="1:10" s="29" customFormat="1" ht="27.75" customHeight="1" x14ac:dyDescent="0.45">
      <c r="A29" s="26"/>
      <c r="B29" s="27" t="s">
        <v>24</v>
      </c>
      <c r="C29" s="28">
        <v>396</v>
      </c>
      <c r="D29" s="28">
        <v>317</v>
      </c>
      <c r="E29" s="28">
        <v>386</v>
      </c>
      <c r="F29" s="28">
        <v>340</v>
      </c>
      <c r="G29" s="28">
        <f t="shared" si="4"/>
        <v>1439</v>
      </c>
      <c r="H29" s="28">
        <v>214</v>
      </c>
    </row>
    <row r="30" spans="1:10" s="17" customFormat="1" ht="27.75" customHeight="1" x14ac:dyDescent="0.45">
      <c r="A30" s="13"/>
      <c r="B30" s="21" t="s">
        <v>25</v>
      </c>
      <c r="C30" s="22">
        <f t="shared" ref="C30" si="19">C31+C35+C38</f>
        <v>-19543</v>
      </c>
      <c r="D30" s="22">
        <f t="shared" ref="D30:F30" si="20">D31+D35+D38</f>
        <v>-18763</v>
      </c>
      <c r="E30" s="22">
        <f t="shared" si="20"/>
        <v>-19993</v>
      </c>
      <c r="F30" s="22">
        <f t="shared" si="20"/>
        <v>-20241</v>
      </c>
      <c r="G30" s="22">
        <f t="shared" si="4"/>
        <v>-78540</v>
      </c>
      <c r="H30" s="22">
        <v>-17460</v>
      </c>
    </row>
    <row r="31" spans="1:10" s="17" customFormat="1" ht="27.75" customHeight="1" x14ac:dyDescent="0.45">
      <c r="A31" s="13"/>
      <c r="B31" s="21" t="s">
        <v>15</v>
      </c>
      <c r="C31" s="22">
        <f>SUM(C32:C34)</f>
        <v>-5228</v>
      </c>
      <c r="D31" s="22">
        <f t="shared" ref="D31:F31" si="21">SUM(D32:D34)</f>
        <v>-4826</v>
      </c>
      <c r="E31" s="22">
        <f t="shared" si="21"/>
        <v>-5255</v>
      </c>
      <c r="F31" s="22">
        <f t="shared" si="21"/>
        <v>-5445</v>
      </c>
      <c r="G31" s="22">
        <f t="shared" si="4"/>
        <v>-20754</v>
      </c>
      <c r="H31" s="22">
        <v>-4914</v>
      </c>
    </row>
    <row r="32" spans="1:10" s="29" customFormat="1" ht="27.75" customHeight="1" x14ac:dyDescent="0.45">
      <c r="A32" s="26"/>
      <c r="B32" s="27" t="s">
        <v>16</v>
      </c>
      <c r="C32" s="28">
        <v>-628</v>
      </c>
      <c r="D32" s="28">
        <v>-594</v>
      </c>
      <c r="E32" s="28">
        <v>-613</v>
      </c>
      <c r="F32" s="28">
        <v>-578</v>
      </c>
      <c r="G32" s="28">
        <f t="shared" si="4"/>
        <v>-2413</v>
      </c>
      <c r="H32" s="28">
        <v>-639</v>
      </c>
    </row>
    <row r="33" spans="1:13" s="29" customFormat="1" ht="27.75" customHeight="1" x14ac:dyDescent="0.45">
      <c r="A33" s="26"/>
      <c r="B33" s="27" t="s">
        <v>17</v>
      </c>
      <c r="C33" s="28">
        <v>-2424</v>
      </c>
      <c r="D33" s="28">
        <v>-2550</v>
      </c>
      <c r="E33" s="28">
        <v>-2703</v>
      </c>
      <c r="F33" s="28">
        <v>-2651</v>
      </c>
      <c r="G33" s="28">
        <f t="shared" si="4"/>
        <v>-10328</v>
      </c>
      <c r="H33" s="28">
        <v>-2226</v>
      </c>
    </row>
    <row r="34" spans="1:13" s="29" customFormat="1" ht="27.75" customHeight="1" x14ac:dyDescent="0.45">
      <c r="A34" s="26"/>
      <c r="B34" s="27" t="s">
        <v>18</v>
      </c>
      <c r="C34" s="28">
        <v>-2176</v>
      </c>
      <c r="D34" s="28">
        <v>-1682</v>
      </c>
      <c r="E34" s="28">
        <v>-1939</v>
      </c>
      <c r="F34" s="28">
        <v>-2216</v>
      </c>
      <c r="G34" s="28">
        <f t="shared" si="4"/>
        <v>-8013</v>
      </c>
      <c r="H34" s="28">
        <v>-2049</v>
      </c>
    </row>
    <row r="35" spans="1:13" s="17" customFormat="1" ht="27.75" customHeight="1" x14ac:dyDescent="0.45">
      <c r="A35" s="24"/>
      <c r="B35" s="21" t="s">
        <v>19</v>
      </c>
      <c r="C35" s="23">
        <f>C36+C37</f>
        <v>-4563</v>
      </c>
      <c r="D35" s="23">
        <f t="shared" ref="D35:F35" si="22">D36+D37</f>
        <v>-4114</v>
      </c>
      <c r="E35" s="23">
        <f t="shared" si="22"/>
        <v>-5302</v>
      </c>
      <c r="F35" s="23">
        <f t="shared" si="22"/>
        <v>-5418</v>
      </c>
      <c r="G35" s="23">
        <f t="shared" si="4"/>
        <v>-19397</v>
      </c>
      <c r="H35" s="23">
        <v>-4991</v>
      </c>
    </row>
    <row r="36" spans="1:13" s="29" customFormat="1" ht="27.75" customHeight="1" x14ac:dyDescent="0.45">
      <c r="A36" s="26"/>
      <c r="B36" s="27" t="s">
        <v>20</v>
      </c>
      <c r="C36" s="28">
        <v>-487</v>
      </c>
      <c r="D36" s="28">
        <v>-330</v>
      </c>
      <c r="E36" s="28">
        <v>-468</v>
      </c>
      <c r="F36" s="28">
        <v>-281</v>
      </c>
      <c r="G36" s="28">
        <f t="shared" si="4"/>
        <v>-1566</v>
      </c>
      <c r="H36" s="28">
        <v>-210</v>
      </c>
    </row>
    <row r="37" spans="1:13" s="29" customFormat="1" ht="27.75" customHeight="1" x14ac:dyDescent="0.45">
      <c r="A37" s="30"/>
      <c r="B37" s="27" t="s">
        <v>21</v>
      </c>
      <c r="C37" s="28">
        <v>-4076</v>
      </c>
      <c r="D37" s="28">
        <v>-3784</v>
      </c>
      <c r="E37" s="28">
        <v>-4834</v>
      </c>
      <c r="F37" s="28">
        <v>-5137</v>
      </c>
      <c r="G37" s="28">
        <f t="shared" si="4"/>
        <v>-17831</v>
      </c>
      <c r="H37" s="28">
        <v>-4781</v>
      </c>
    </row>
    <row r="38" spans="1:13" s="17" customFormat="1" ht="27.75" customHeight="1" x14ac:dyDescent="0.45">
      <c r="A38" s="13"/>
      <c r="B38" s="21" t="s">
        <v>22</v>
      </c>
      <c r="C38" s="32">
        <f>C39+C40</f>
        <v>-9752</v>
      </c>
      <c r="D38" s="32">
        <f>D39+D40</f>
        <v>-9823</v>
      </c>
      <c r="E38" s="32">
        <f>E39+E40</f>
        <v>-9436</v>
      </c>
      <c r="F38" s="32">
        <f>F39+F40</f>
        <v>-9378</v>
      </c>
      <c r="G38" s="32">
        <f>C38+D38+E38+F38</f>
        <v>-38389</v>
      </c>
      <c r="H38" s="32">
        <v>-7555</v>
      </c>
    </row>
    <row r="39" spans="1:13" s="29" customFormat="1" ht="27.75" customHeight="1" x14ac:dyDescent="0.45">
      <c r="A39" s="30"/>
      <c r="B39" s="27" t="s">
        <v>23</v>
      </c>
      <c r="C39" s="33">
        <v>-8970</v>
      </c>
      <c r="D39" s="33">
        <v>-9458</v>
      </c>
      <c r="E39" s="33">
        <v>-9148</v>
      </c>
      <c r="F39" s="33">
        <v>-8948</v>
      </c>
      <c r="G39" s="33">
        <f t="shared" si="4"/>
        <v>-36524</v>
      </c>
      <c r="H39" s="33">
        <v>-7312</v>
      </c>
    </row>
    <row r="40" spans="1:13" s="29" customFormat="1" ht="27.75" customHeight="1" x14ac:dyDescent="0.45">
      <c r="A40" s="30"/>
      <c r="B40" s="27" t="s">
        <v>24</v>
      </c>
      <c r="C40" s="33">
        <v>-782</v>
      </c>
      <c r="D40" s="33">
        <v>-365</v>
      </c>
      <c r="E40" s="33">
        <v>-288</v>
      </c>
      <c r="F40" s="33">
        <v>-430</v>
      </c>
      <c r="G40" s="33">
        <f t="shared" si="4"/>
        <v>-1865</v>
      </c>
      <c r="H40" s="33">
        <v>-243</v>
      </c>
    </row>
    <row r="41" spans="1:13" s="17" customFormat="1" ht="27.75" customHeight="1" x14ac:dyDescent="0.45">
      <c r="A41" s="13" t="s">
        <v>26</v>
      </c>
      <c r="B41" s="18" t="s">
        <v>27</v>
      </c>
      <c r="C41" s="34">
        <f t="shared" ref="C41" si="23">C42+C59</f>
        <v>4300</v>
      </c>
      <c r="D41" s="34">
        <f t="shared" ref="D41:F41" si="24">D42+D59</f>
        <v>7355.9532687597675</v>
      </c>
      <c r="E41" s="34">
        <f t="shared" si="24"/>
        <v>7879</v>
      </c>
      <c r="F41" s="34">
        <f t="shared" si="24"/>
        <v>12213</v>
      </c>
      <c r="G41" s="34">
        <f t="shared" si="4"/>
        <v>31747.953268759768</v>
      </c>
      <c r="H41" s="34">
        <v>5442</v>
      </c>
    </row>
    <row r="42" spans="1:13" s="17" customFormat="1" ht="27.75" customHeight="1" x14ac:dyDescent="0.45">
      <c r="A42" s="13"/>
      <c r="B42" s="21" t="s">
        <v>28</v>
      </c>
      <c r="C42" s="22">
        <f t="shared" ref="C42" si="25">C43+C44+C46+C48</f>
        <v>49090</v>
      </c>
      <c r="D42" s="22">
        <f t="shared" ref="D42:E42" si="26">D43+D44+D46+D48</f>
        <v>59265.869497846521</v>
      </c>
      <c r="E42" s="22">
        <f t="shared" si="26"/>
        <v>55029</v>
      </c>
      <c r="F42" s="22">
        <f>F43+F44+F46+F48</f>
        <v>55727</v>
      </c>
      <c r="G42" s="22">
        <f t="shared" si="4"/>
        <v>219111.86949784652</v>
      </c>
      <c r="H42" s="22">
        <v>50629</v>
      </c>
      <c r="I42" s="31"/>
      <c r="J42" s="31"/>
      <c r="K42" s="31"/>
    </row>
    <row r="43" spans="1:13" s="17" customFormat="1" ht="27.75" customHeight="1" x14ac:dyDescent="0.45">
      <c r="A43" s="13"/>
      <c r="B43" s="21" t="s">
        <v>29</v>
      </c>
      <c r="C43" s="22">
        <v>11</v>
      </c>
      <c r="D43" s="22">
        <v>13</v>
      </c>
      <c r="E43" s="22">
        <v>11</v>
      </c>
      <c r="F43" s="61">
        <v>11</v>
      </c>
      <c r="G43" s="61">
        <f t="shared" si="4"/>
        <v>46</v>
      </c>
      <c r="H43" s="61">
        <v>12</v>
      </c>
      <c r="I43" s="31"/>
      <c r="J43" s="31"/>
      <c r="K43" s="31"/>
    </row>
    <row r="44" spans="1:13" s="17" customFormat="1" ht="27.75" customHeight="1" x14ac:dyDescent="0.45">
      <c r="A44" s="13"/>
      <c r="B44" s="21" t="s">
        <v>30</v>
      </c>
      <c r="C44" s="22">
        <f>145+C45</f>
        <v>28044</v>
      </c>
      <c r="D44" s="22">
        <f>304+D45</f>
        <v>34041.631655166668</v>
      </c>
      <c r="E44" s="22">
        <f>43+E45</f>
        <v>33204</v>
      </c>
      <c r="F44" s="22">
        <f>31+F45</f>
        <v>34654</v>
      </c>
      <c r="G44" s="22">
        <f t="shared" si="4"/>
        <v>129943.63165516667</v>
      </c>
      <c r="H44" s="22">
        <v>33041</v>
      </c>
      <c r="I44" s="31"/>
      <c r="J44" s="31"/>
      <c r="K44" s="31"/>
      <c r="L44" s="31"/>
      <c r="M44" s="31"/>
    </row>
    <row r="45" spans="1:13" s="29" customFormat="1" ht="24.75" customHeight="1" x14ac:dyDescent="0.45">
      <c r="A45" s="35"/>
      <c r="B45" s="27" t="s">
        <v>31</v>
      </c>
      <c r="C45" s="28">
        <v>27899</v>
      </c>
      <c r="D45" s="28">
        <v>33737.631655166668</v>
      </c>
      <c r="E45" s="28">
        <v>33161</v>
      </c>
      <c r="F45" s="28">
        <v>34623</v>
      </c>
      <c r="G45" s="28">
        <f t="shared" si="4"/>
        <v>129420.63165516667</v>
      </c>
      <c r="H45" s="28">
        <v>33002</v>
      </c>
      <c r="I45" s="36"/>
      <c r="J45" s="36"/>
      <c r="K45" s="36"/>
    </row>
    <row r="46" spans="1:13" s="17" customFormat="1" ht="27.75" customHeight="1" x14ac:dyDescent="0.45">
      <c r="A46" s="13"/>
      <c r="B46" s="21" t="s">
        <v>32</v>
      </c>
      <c r="C46" s="22">
        <f>965+C47</f>
        <v>13374</v>
      </c>
      <c r="D46" s="22">
        <f>474+D47</f>
        <v>15228.550749563747</v>
      </c>
      <c r="E46" s="22">
        <f>236+E47</f>
        <v>13359</v>
      </c>
      <c r="F46" s="22">
        <f>319+F47</f>
        <v>13119</v>
      </c>
      <c r="G46" s="22">
        <f>C46+D46+E46+F46</f>
        <v>55080.550749563743</v>
      </c>
      <c r="H46" s="22">
        <v>9617</v>
      </c>
      <c r="I46" s="31"/>
      <c r="J46" s="31"/>
      <c r="K46" s="31"/>
      <c r="L46" s="31"/>
      <c r="M46" s="31"/>
    </row>
    <row r="47" spans="1:13" s="29" customFormat="1" ht="24.75" customHeight="1" x14ac:dyDescent="0.45">
      <c r="A47" s="35"/>
      <c r="B47" s="27" t="s">
        <v>31</v>
      </c>
      <c r="C47" s="28">
        <v>12409</v>
      </c>
      <c r="D47" s="28">
        <v>14754.550749563747</v>
      </c>
      <c r="E47" s="28">
        <v>13123</v>
      </c>
      <c r="F47" s="28">
        <v>12800</v>
      </c>
      <c r="G47" s="28">
        <f t="shared" si="4"/>
        <v>53086.550749563743</v>
      </c>
      <c r="H47" s="28">
        <v>9552</v>
      </c>
    </row>
    <row r="48" spans="1:13" s="17" customFormat="1" ht="27.75" customHeight="1" x14ac:dyDescent="0.45">
      <c r="A48" s="24"/>
      <c r="B48" s="21" t="s">
        <v>33</v>
      </c>
      <c r="C48" s="22">
        <f>SUM(C49:C52)</f>
        <v>7661</v>
      </c>
      <c r="D48" s="22">
        <f>SUM(D49:D52)</f>
        <v>9982.6870931161102</v>
      </c>
      <c r="E48" s="22">
        <f>SUM(E49:E52)</f>
        <v>8455</v>
      </c>
      <c r="F48" s="22">
        <f>SUM(F49:F52)</f>
        <v>7943</v>
      </c>
      <c r="G48" s="22">
        <f>C48+D48+E48+F48</f>
        <v>34041.68709311611</v>
      </c>
      <c r="H48" s="22">
        <v>7959</v>
      </c>
      <c r="I48" s="31"/>
      <c r="J48" s="31"/>
      <c r="K48" s="31"/>
    </row>
    <row r="49" spans="1:11" s="29" customFormat="1" ht="27.75" customHeight="1" x14ac:dyDescent="0.45">
      <c r="A49" s="30"/>
      <c r="B49" s="27" t="s">
        <v>34</v>
      </c>
      <c r="C49" s="23">
        <v>0</v>
      </c>
      <c r="D49" s="23">
        <v>0</v>
      </c>
      <c r="E49" s="23">
        <v>0</v>
      </c>
      <c r="F49" s="23">
        <v>0</v>
      </c>
      <c r="G49" s="23">
        <f t="shared" si="4"/>
        <v>0</v>
      </c>
      <c r="H49" s="23">
        <v>0</v>
      </c>
      <c r="I49" s="36"/>
      <c r="J49" s="36"/>
      <c r="K49" s="36"/>
    </row>
    <row r="50" spans="1:11" s="29" customFormat="1" ht="27.75" customHeight="1" x14ac:dyDescent="0.45">
      <c r="A50" s="30"/>
      <c r="B50" s="27" t="s">
        <v>35</v>
      </c>
      <c r="C50" s="23">
        <v>271</v>
      </c>
      <c r="D50" s="23">
        <v>350</v>
      </c>
      <c r="E50" s="23">
        <v>336</v>
      </c>
      <c r="F50" s="23">
        <v>298</v>
      </c>
      <c r="G50" s="23">
        <f t="shared" si="4"/>
        <v>1255</v>
      </c>
      <c r="H50" s="23">
        <v>490</v>
      </c>
      <c r="I50" s="36"/>
      <c r="J50" s="36"/>
      <c r="K50" s="36"/>
    </row>
    <row r="51" spans="1:11" s="29" customFormat="1" ht="27.75" customHeight="1" x14ac:dyDescent="0.45">
      <c r="A51" s="30"/>
      <c r="B51" s="27" t="s">
        <v>36</v>
      </c>
      <c r="C51" s="23">
        <v>3750</v>
      </c>
      <c r="D51" s="23">
        <v>4009</v>
      </c>
      <c r="E51" s="23">
        <v>3738</v>
      </c>
      <c r="F51" s="23">
        <v>3497</v>
      </c>
      <c r="G51" s="23">
        <f t="shared" si="4"/>
        <v>14994</v>
      </c>
      <c r="H51" s="23">
        <v>3734</v>
      </c>
      <c r="I51" s="36"/>
      <c r="J51" s="36"/>
      <c r="K51" s="36"/>
    </row>
    <row r="52" spans="1:11" s="29" customFormat="1" ht="27.75" customHeight="1" x14ac:dyDescent="0.45">
      <c r="A52" s="30"/>
      <c r="B52" s="27" t="s">
        <v>37</v>
      </c>
      <c r="C52" s="23">
        <f>83+C53</f>
        <v>3640</v>
      </c>
      <c r="D52" s="23">
        <f>107+D53</f>
        <v>5623.6870931161102</v>
      </c>
      <c r="E52" s="23">
        <f>41+E53</f>
        <v>4381</v>
      </c>
      <c r="F52" s="23">
        <v>4148</v>
      </c>
      <c r="G52" s="23">
        <f t="shared" si="4"/>
        <v>17792.68709311611</v>
      </c>
      <c r="H52" s="23">
        <v>3735</v>
      </c>
      <c r="I52" s="36"/>
      <c r="J52" s="36"/>
      <c r="K52" s="36"/>
    </row>
    <row r="53" spans="1:11" s="29" customFormat="1" ht="27.75" customHeight="1" thickBot="1" x14ac:dyDescent="0.5">
      <c r="A53" s="37"/>
      <c r="B53" s="38" t="s">
        <v>31</v>
      </c>
      <c r="C53" s="39">
        <v>3557</v>
      </c>
      <c r="D53" s="39">
        <v>5516.6870931161102</v>
      </c>
      <c r="E53" s="39">
        <v>4340</v>
      </c>
      <c r="F53" s="39">
        <v>4144</v>
      </c>
      <c r="G53" s="39">
        <f t="shared" si="4"/>
        <v>17557.68709311611</v>
      </c>
      <c r="H53" s="39">
        <v>3726</v>
      </c>
    </row>
    <row r="54" spans="1:11" ht="43.5" customHeight="1" x14ac:dyDescent="0.5">
      <c r="A54" s="40" t="s">
        <v>38</v>
      </c>
      <c r="B54" s="29"/>
    </row>
    <row r="55" spans="1:11" ht="39" customHeight="1" thickBot="1" x14ac:dyDescent="0.5">
      <c r="A55" s="41"/>
      <c r="C55" s="5"/>
      <c r="D55" s="5"/>
      <c r="H55" s="5" t="s">
        <v>0</v>
      </c>
    </row>
    <row r="56" spans="1:11" s="17" customFormat="1" ht="41.25" customHeight="1" thickBot="1" x14ac:dyDescent="0.5">
      <c r="A56" s="6"/>
      <c r="B56" s="42"/>
      <c r="C56" s="66" t="s">
        <v>78</v>
      </c>
      <c r="D56" s="67"/>
      <c r="E56" s="67"/>
      <c r="F56" s="68"/>
      <c r="G56" s="64" t="s">
        <v>78</v>
      </c>
      <c r="H56" s="71" t="s">
        <v>83</v>
      </c>
    </row>
    <row r="57" spans="1:11" s="17" customFormat="1" ht="54.75" customHeight="1" x14ac:dyDescent="0.45">
      <c r="A57" s="9"/>
      <c r="B57" s="43"/>
      <c r="C57" s="62" t="s">
        <v>82</v>
      </c>
      <c r="D57" s="62" t="s">
        <v>81</v>
      </c>
      <c r="E57" s="62" t="s">
        <v>80</v>
      </c>
      <c r="F57" s="12" t="s">
        <v>79</v>
      </c>
      <c r="G57" s="65"/>
      <c r="H57" s="62" t="s">
        <v>82</v>
      </c>
    </row>
    <row r="58" spans="1:11" s="17" customFormat="1" ht="21" customHeight="1" x14ac:dyDescent="0.45">
      <c r="A58" s="13"/>
      <c r="B58" s="44"/>
      <c r="C58" s="15"/>
      <c r="D58" s="15"/>
      <c r="E58" s="15"/>
      <c r="F58" s="45"/>
      <c r="G58" s="15"/>
      <c r="H58" s="15"/>
    </row>
    <row r="59" spans="1:11" s="17" customFormat="1" ht="24.75" customHeight="1" x14ac:dyDescent="0.45">
      <c r="A59" s="46"/>
      <c r="B59" s="21" t="s">
        <v>25</v>
      </c>
      <c r="C59" s="23">
        <f>C60+C61+C63+C65</f>
        <v>-44790</v>
      </c>
      <c r="D59" s="23">
        <f>D60+D61+D63+D65</f>
        <v>-51909.916229086753</v>
      </c>
      <c r="E59" s="23">
        <f>E60+E61+E63+E65</f>
        <v>-47150</v>
      </c>
      <c r="F59" s="23">
        <f>F60+F61+F63+F65</f>
        <v>-43514</v>
      </c>
      <c r="G59" s="23">
        <f>C59+D59+E59+F59</f>
        <v>-187363.91622908675</v>
      </c>
      <c r="H59" s="23">
        <v>-45187</v>
      </c>
      <c r="I59" s="31"/>
      <c r="J59" s="31"/>
      <c r="K59" s="31"/>
    </row>
    <row r="60" spans="1:11" s="17" customFormat="1" ht="24.75" customHeight="1" x14ac:dyDescent="0.45">
      <c r="A60" s="46"/>
      <c r="B60" s="21" t="s">
        <v>39</v>
      </c>
      <c r="C60" s="23">
        <v>-58</v>
      </c>
      <c r="D60" s="23">
        <v>-68</v>
      </c>
      <c r="E60" s="23">
        <v>-56</v>
      </c>
      <c r="F60" s="23">
        <v>-68</v>
      </c>
      <c r="G60" s="23">
        <f t="shared" ref="G60:G119" si="27">C60+D60+E60+F60</f>
        <v>-250</v>
      </c>
      <c r="H60" s="23">
        <v>-52</v>
      </c>
      <c r="I60" s="31"/>
      <c r="J60" s="31"/>
      <c r="K60" s="31"/>
    </row>
    <row r="61" spans="1:11" s="17" customFormat="1" ht="24.75" customHeight="1" x14ac:dyDescent="0.45">
      <c r="A61" s="46"/>
      <c r="B61" s="21" t="s">
        <v>30</v>
      </c>
      <c r="C61" s="23">
        <f>-715+C62</f>
        <v>-33439</v>
      </c>
      <c r="D61" s="23">
        <f>-3119+D62</f>
        <v>-39557.804694516773</v>
      </c>
      <c r="E61" s="23">
        <f>-1127+E62</f>
        <v>-35538</v>
      </c>
      <c r="F61" s="23">
        <f>-151+F62</f>
        <v>-32351</v>
      </c>
      <c r="G61" s="23">
        <f t="shared" si="27"/>
        <v>-140885.80469451676</v>
      </c>
      <c r="H61" s="23">
        <v>-36134</v>
      </c>
      <c r="I61" s="31"/>
      <c r="J61" s="31"/>
      <c r="K61" s="31"/>
    </row>
    <row r="62" spans="1:11" s="29" customFormat="1" ht="24.75" customHeight="1" x14ac:dyDescent="0.45">
      <c r="A62" s="35"/>
      <c r="B62" s="27" t="s">
        <v>31</v>
      </c>
      <c r="C62" s="28">
        <v>-32724</v>
      </c>
      <c r="D62" s="28">
        <v>-36438.804694516773</v>
      </c>
      <c r="E62" s="28">
        <v>-34411</v>
      </c>
      <c r="F62" s="28">
        <v>-32200</v>
      </c>
      <c r="G62" s="28">
        <f t="shared" si="27"/>
        <v>-135773.80469451676</v>
      </c>
      <c r="H62" s="28">
        <v>-32579</v>
      </c>
    </row>
    <row r="63" spans="1:11" s="17" customFormat="1" ht="24.75" customHeight="1" x14ac:dyDescent="0.45">
      <c r="A63" s="46"/>
      <c r="B63" s="21" t="s">
        <v>32</v>
      </c>
      <c r="C63" s="23">
        <f>-842+C64</f>
        <v>-2665</v>
      </c>
      <c r="D63" s="23">
        <f>-866+D64</f>
        <v>-2850.0023486281748</v>
      </c>
      <c r="E63" s="23">
        <f>-609+E64</f>
        <v>-2472</v>
      </c>
      <c r="F63" s="23">
        <f>-370+F64</f>
        <v>-2049</v>
      </c>
      <c r="G63" s="23">
        <f t="shared" si="27"/>
        <v>-10036.002348628175</v>
      </c>
      <c r="H63" s="23">
        <v>-2424</v>
      </c>
      <c r="I63" s="31"/>
      <c r="J63" s="31"/>
      <c r="K63" s="31"/>
    </row>
    <row r="64" spans="1:11" s="29" customFormat="1" ht="24.75" customHeight="1" x14ac:dyDescent="0.45">
      <c r="A64" s="35"/>
      <c r="B64" s="27" t="s">
        <v>31</v>
      </c>
      <c r="C64" s="28">
        <v>-1823</v>
      </c>
      <c r="D64" s="28">
        <v>-1984.0023486281748</v>
      </c>
      <c r="E64" s="28">
        <v>-1863</v>
      </c>
      <c r="F64" s="28">
        <v>-1679</v>
      </c>
      <c r="G64" s="28">
        <f t="shared" si="27"/>
        <v>-7349.0023486281752</v>
      </c>
      <c r="H64" s="28">
        <v>-1927</v>
      </c>
    </row>
    <row r="65" spans="1:11" s="17" customFormat="1" ht="24.75" customHeight="1" x14ac:dyDescent="0.45">
      <c r="A65" s="46"/>
      <c r="B65" s="21" t="s">
        <v>33</v>
      </c>
      <c r="C65" s="47">
        <f>SUM(C66:C69)</f>
        <v>-8628</v>
      </c>
      <c r="D65" s="47">
        <f>SUM(D66:D69)</f>
        <v>-9434.1091859418048</v>
      </c>
      <c r="E65" s="47">
        <f>SUM(E66:E69)</f>
        <v>-9084</v>
      </c>
      <c r="F65" s="47">
        <f>SUM(F66:F69)</f>
        <v>-9046</v>
      </c>
      <c r="G65" s="47">
        <f t="shared" si="27"/>
        <v>-36192.109185941808</v>
      </c>
      <c r="H65" s="47">
        <v>-6577</v>
      </c>
      <c r="I65" s="31"/>
      <c r="J65" s="31"/>
      <c r="K65" s="31"/>
    </row>
    <row r="66" spans="1:11" s="29" customFormat="1" ht="24.75" customHeight="1" x14ac:dyDescent="0.45">
      <c r="A66" s="35"/>
      <c r="B66" s="27" t="s">
        <v>34</v>
      </c>
      <c r="C66" s="23">
        <v>-251</v>
      </c>
      <c r="D66" s="23">
        <v>-96</v>
      </c>
      <c r="E66" s="23">
        <v>-248</v>
      </c>
      <c r="F66" s="23">
        <v>-100</v>
      </c>
      <c r="G66" s="23">
        <f t="shared" si="27"/>
        <v>-695</v>
      </c>
      <c r="H66" s="23">
        <v>-245</v>
      </c>
      <c r="I66" s="36"/>
      <c r="J66" s="36"/>
      <c r="K66" s="36"/>
    </row>
    <row r="67" spans="1:11" s="29" customFormat="1" ht="24.75" customHeight="1" x14ac:dyDescent="0.45">
      <c r="A67" s="35"/>
      <c r="B67" s="27" t="s">
        <v>35</v>
      </c>
      <c r="C67" s="23">
        <v>0</v>
      </c>
      <c r="D67" s="23">
        <v>0</v>
      </c>
      <c r="E67" s="23">
        <v>0</v>
      </c>
      <c r="F67" s="23">
        <v>0</v>
      </c>
      <c r="G67" s="23">
        <f t="shared" si="27"/>
        <v>0</v>
      </c>
      <c r="H67" s="23">
        <v>0</v>
      </c>
      <c r="I67" s="36"/>
      <c r="J67" s="36"/>
      <c r="K67" s="36"/>
    </row>
    <row r="68" spans="1:11" s="29" customFormat="1" ht="24.75" customHeight="1" x14ac:dyDescent="0.45">
      <c r="A68" s="35"/>
      <c r="B68" s="27" t="s">
        <v>36</v>
      </c>
      <c r="C68" s="23">
        <v>-1255</v>
      </c>
      <c r="D68" s="23">
        <v>-1411</v>
      </c>
      <c r="E68" s="23">
        <v>-1145</v>
      </c>
      <c r="F68" s="23">
        <v>-1147</v>
      </c>
      <c r="G68" s="23">
        <f t="shared" si="27"/>
        <v>-4958</v>
      </c>
      <c r="H68" s="23">
        <v>-1094</v>
      </c>
      <c r="I68" s="36"/>
      <c r="J68" s="36"/>
      <c r="K68" s="36"/>
    </row>
    <row r="69" spans="1:11" s="29" customFormat="1" ht="24.75" customHeight="1" x14ac:dyDescent="0.45">
      <c r="A69" s="35"/>
      <c r="B69" s="27" t="s">
        <v>37</v>
      </c>
      <c r="C69" s="23">
        <f>-1378+C70</f>
        <v>-7122</v>
      </c>
      <c r="D69" s="23">
        <f>-1416+D70</f>
        <v>-7927.1091859418057</v>
      </c>
      <c r="E69" s="23">
        <f>-1275+E70</f>
        <v>-7691</v>
      </c>
      <c r="F69" s="23">
        <f>-1152+F70</f>
        <v>-7799</v>
      </c>
      <c r="G69" s="23">
        <f t="shared" si="27"/>
        <v>-30539.109185941805</v>
      </c>
      <c r="H69" s="23">
        <v>-5238</v>
      </c>
    </row>
    <row r="70" spans="1:11" s="29" customFormat="1" ht="24.75" customHeight="1" x14ac:dyDescent="0.45">
      <c r="A70" s="35"/>
      <c r="B70" s="27" t="s">
        <v>31</v>
      </c>
      <c r="C70" s="28">
        <v>-5744</v>
      </c>
      <c r="D70" s="28">
        <v>-6511.1091859418057</v>
      </c>
      <c r="E70" s="28">
        <v>-6416</v>
      </c>
      <c r="F70" s="28">
        <v>-6647</v>
      </c>
      <c r="G70" s="28">
        <f t="shared" si="27"/>
        <v>-25318.109185941805</v>
      </c>
      <c r="H70" s="28">
        <v>-5104</v>
      </c>
    </row>
    <row r="71" spans="1:11" s="17" customFormat="1" ht="24.75" customHeight="1" x14ac:dyDescent="0.45">
      <c r="A71" s="46" t="s">
        <v>40</v>
      </c>
      <c r="B71" s="18" t="s">
        <v>41</v>
      </c>
      <c r="C71" s="34">
        <f>C72+C75</f>
        <v>-1861</v>
      </c>
      <c r="D71" s="34">
        <f>D72+D75</f>
        <v>-2312</v>
      </c>
      <c r="E71" s="34">
        <f>E72+E75</f>
        <v>-1717</v>
      </c>
      <c r="F71" s="34">
        <f>F72+F75</f>
        <v>-2027</v>
      </c>
      <c r="G71" s="34">
        <f t="shared" si="27"/>
        <v>-7917</v>
      </c>
      <c r="H71" s="34">
        <v>-2870</v>
      </c>
    </row>
    <row r="72" spans="1:11" s="17" customFormat="1" ht="24.75" customHeight="1" x14ac:dyDescent="0.45">
      <c r="A72" s="46"/>
      <c r="B72" s="21" t="s">
        <v>14</v>
      </c>
      <c r="C72" s="47">
        <f>C73+C74</f>
        <v>2581</v>
      </c>
      <c r="D72" s="47">
        <f>D73+D74</f>
        <v>2247</v>
      </c>
      <c r="E72" s="47">
        <f>E73+E74</f>
        <v>2540</v>
      </c>
      <c r="F72" s="47">
        <f>F73+F74</f>
        <v>2222</v>
      </c>
      <c r="G72" s="47">
        <f t="shared" si="27"/>
        <v>9590</v>
      </c>
      <c r="H72" s="47">
        <v>1515</v>
      </c>
    </row>
    <row r="73" spans="1:11" s="17" customFormat="1" ht="24.75" customHeight="1" x14ac:dyDescent="0.45">
      <c r="A73" s="46"/>
      <c r="B73" s="21" t="s">
        <v>42</v>
      </c>
      <c r="C73" s="23">
        <v>1568</v>
      </c>
      <c r="D73" s="23">
        <v>1930</v>
      </c>
      <c r="E73" s="23">
        <v>2426</v>
      </c>
      <c r="F73" s="23">
        <v>2065</v>
      </c>
      <c r="G73" s="23">
        <f t="shared" si="27"/>
        <v>7989</v>
      </c>
      <c r="H73" s="23">
        <v>1354</v>
      </c>
    </row>
    <row r="74" spans="1:11" s="17" customFormat="1" ht="24.75" customHeight="1" x14ac:dyDescent="0.45">
      <c r="A74" s="46"/>
      <c r="B74" s="21" t="s">
        <v>43</v>
      </c>
      <c r="C74" s="23">
        <v>1013</v>
      </c>
      <c r="D74" s="23">
        <v>317</v>
      </c>
      <c r="E74" s="23">
        <v>114</v>
      </c>
      <c r="F74" s="23">
        <v>157</v>
      </c>
      <c r="G74" s="23">
        <f t="shared" si="27"/>
        <v>1601</v>
      </c>
      <c r="H74" s="23">
        <v>161</v>
      </c>
    </row>
    <row r="75" spans="1:11" s="17" customFormat="1" ht="24.75" customHeight="1" x14ac:dyDescent="0.45">
      <c r="A75" s="46"/>
      <c r="B75" s="21" t="s">
        <v>25</v>
      </c>
      <c r="C75" s="47">
        <f>C76+C78</f>
        <v>-4442</v>
      </c>
      <c r="D75" s="47">
        <f>D76+D78</f>
        <v>-4559</v>
      </c>
      <c r="E75" s="47">
        <f>E76+E78</f>
        <v>-4257</v>
      </c>
      <c r="F75" s="47">
        <f>F76+F78</f>
        <v>-4249</v>
      </c>
      <c r="G75" s="47">
        <f t="shared" si="27"/>
        <v>-17507</v>
      </c>
      <c r="H75" s="47">
        <v>-4385</v>
      </c>
    </row>
    <row r="76" spans="1:11" s="17" customFormat="1" ht="24.75" customHeight="1" x14ac:dyDescent="0.45">
      <c r="A76" s="46"/>
      <c r="B76" s="21" t="s">
        <v>42</v>
      </c>
      <c r="C76" s="23">
        <f>-1474+C77</f>
        <v>-4418</v>
      </c>
      <c r="D76" s="23">
        <f>-1776+D77</f>
        <v>-4539</v>
      </c>
      <c r="E76" s="23">
        <f>-2112+E77</f>
        <v>-4235</v>
      </c>
      <c r="F76" s="23">
        <f>-1458+F77</f>
        <v>-4245</v>
      </c>
      <c r="G76" s="23">
        <f t="shared" si="27"/>
        <v>-17437</v>
      </c>
      <c r="H76" s="23">
        <v>-4380</v>
      </c>
      <c r="I76" s="31"/>
    </row>
    <row r="77" spans="1:11" s="29" customFormat="1" ht="24.75" customHeight="1" x14ac:dyDescent="0.45">
      <c r="A77" s="35"/>
      <c r="B77" s="27" t="s">
        <v>31</v>
      </c>
      <c r="C77" s="28">
        <v>-2944</v>
      </c>
      <c r="D77" s="28">
        <v>-2763</v>
      </c>
      <c r="E77" s="28">
        <v>-2123</v>
      </c>
      <c r="F77" s="28">
        <v>-2787</v>
      </c>
      <c r="G77" s="28">
        <f t="shared" si="27"/>
        <v>-10617</v>
      </c>
      <c r="H77" s="28">
        <v>-2957</v>
      </c>
    </row>
    <row r="78" spans="1:11" s="17" customFormat="1" ht="24.75" customHeight="1" x14ac:dyDescent="0.45">
      <c r="A78" s="46"/>
      <c r="B78" s="21" t="s">
        <v>43</v>
      </c>
      <c r="C78" s="23">
        <v>-24</v>
      </c>
      <c r="D78" s="23">
        <v>-20</v>
      </c>
      <c r="E78" s="23">
        <v>-22</v>
      </c>
      <c r="F78" s="23">
        <v>-4</v>
      </c>
      <c r="G78" s="23">
        <f t="shared" si="27"/>
        <v>-70</v>
      </c>
      <c r="H78" s="23">
        <v>-5</v>
      </c>
    </row>
    <row r="79" spans="1:11" s="17" customFormat="1" ht="24.75" customHeight="1" x14ac:dyDescent="0.45">
      <c r="A79" s="46" t="s">
        <v>44</v>
      </c>
      <c r="B79" s="18" t="s">
        <v>45</v>
      </c>
      <c r="C79" s="48">
        <f t="shared" ref="C79:F79" si="28">C80+C82</f>
        <v>3552.7180614975387</v>
      </c>
      <c r="D79" s="48">
        <f t="shared" si="28"/>
        <v>6712.0211186399556</v>
      </c>
      <c r="E79" s="48">
        <f t="shared" si="28"/>
        <v>4228.0451363165421</v>
      </c>
      <c r="F79" s="48">
        <f t="shared" si="28"/>
        <v>3377.8954896679475</v>
      </c>
      <c r="G79" s="48">
        <f t="shared" si="27"/>
        <v>17870.679806121982</v>
      </c>
      <c r="H79" s="48">
        <v>5037</v>
      </c>
    </row>
    <row r="80" spans="1:11" s="17" customFormat="1" ht="24.75" customHeight="1" x14ac:dyDescent="0.45">
      <c r="A80" s="46" t="s">
        <v>46</v>
      </c>
      <c r="B80" s="18" t="s">
        <v>47</v>
      </c>
      <c r="C80" s="48">
        <f>C81</f>
        <v>-23.949859700000001</v>
      </c>
      <c r="D80" s="48">
        <f t="shared" ref="D80:F80" si="29">D81</f>
        <v>-59</v>
      </c>
      <c r="E80" s="48">
        <f t="shared" si="29"/>
        <v>-36.021142680000004</v>
      </c>
      <c r="F80" s="48">
        <f t="shared" si="29"/>
        <v>-17.11353424</v>
      </c>
      <c r="G80" s="48">
        <f t="shared" si="27"/>
        <v>-136.08453662000002</v>
      </c>
      <c r="H80" s="48">
        <v>-4</v>
      </c>
      <c r="I80" s="20"/>
    </row>
    <row r="81" spans="1:11" s="29" customFormat="1" ht="24.75" customHeight="1" x14ac:dyDescent="0.45">
      <c r="A81" s="35"/>
      <c r="B81" s="27" t="s">
        <v>48</v>
      </c>
      <c r="C81" s="49">
        <v>-23.949859700000001</v>
      </c>
      <c r="D81" s="49">
        <v>-59</v>
      </c>
      <c r="E81" s="49">
        <v>-36.021142680000004</v>
      </c>
      <c r="F81" s="49">
        <v>-17.11353424</v>
      </c>
      <c r="G81" s="49">
        <f t="shared" si="27"/>
        <v>-136.08453662000002</v>
      </c>
      <c r="H81" s="49">
        <v>-4</v>
      </c>
      <c r="I81" s="17"/>
    </row>
    <row r="82" spans="1:11" s="17" customFormat="1" ht="24.75" customHeight="1" x14ac:dyDescent="0.45">
      <c r="A82" s="46" t="s">
        <v>49</v>
      </c>
      <c r="B82" s="18" t="s">
        <v>50</v>
      </c>
      <c r="C82" s="34">
        <f t="shared" ref="C82:F82" si="30">C83+C88+C99+C114</f>
        <v>3576.6679211975388</v>
      </c>
      <c r="D82" s="34">
        <f t="shared" si="30"/>
        <v>6771.0211186399556</v>
      </c>
      <c r="E82" s="34">
        <f t="shared" si="30"/>
        <v>4264.0662789965418</v>
      </c>
      <c r="F82" s="34">
        <f t="shared" si="30"/>
        <v>3395.0090239079473</v>
      </c>
      <c r="G82" s="34">
        <f t="shared" si="27"/>
        <v>18006.764342741983</v>
      </c>
      <c r="H82" s="34">
        <v>5041</v>
      </c>
      <c r="I82" s="29"/>
      <c r="J82" s="31"/>
    </row>
    <row r="83" spans="1:11" s="20" customFormat="1" ht="24.75" customHeight="1" x14ac:dyDescent="0.45">
      <c r="A83" s="46"/>
      <c r="B83" s="18" t="s">
        <v>51</v>
      </c>
      <c r="C83" s="48">
        <f t="shared" ref="C83:F83" si="31">C84+C86</f>
        <v>16577.323172535733</v>
      </c>
      <c r="D83" s="48">
        <f t="shared" si="31"/>
        <v>-953.65664318166819</v>
      </c>
      <c r="E83" s="48">
        <f t="shared" si="31"/>
        <v>-3016.0090981175454</v>
      </c>
      <c r="F83" s="48">
        <f t="shared" si="31"/>
        <v>-899.20279286869481</v>
      </c>
      <c r="G83" s="48">
        <f t="shared" si="27"/>
        <v>11708.454638367824</v>
      </c>
      <c r="H83" s="48">
        <v>110888</v>
      </c>
      <c r="I83" s="17"/>
    </row>
    <row r="84" spans="1:11" s="17" customFormat="1" ht="24.75" customHeight="1" x14ac:dyDescent="0.45">
      <c r="A84" s="46"/>
      <c r="B84" s="21" t="s">
        <v>52</v>
      </c>
      <c r="C84" s="22">
        <v>-59086.636634608032</v>
      </c>
      <c r="D84" s="22">
        <v>-60882.563034699735</v>
      </c>
      <c r="E84" s="22">
        <v>-55243.903736027227</v>
      </c>
      <c r="F84" s="22">
        <v>-55613.745345884701</v>
      </c>
      <c r="G84" s="22">
        <f t="shared" si="27"/>
        <v>-230826.84875121969</v>
      </c>
      <c r="H84" s="22">
        <v>-34406</v>
      </c>
      <c r="I84" s="29"/>
    </row>
    <row r="85" spans="1:11" s="29" customFormat="1" ht="24.75" customHeight="1" x14ac:dyDescent="0.45">
      <c r="A85" s="35"/>
      <c r="B85" s="27" t="s">
        <v>31</v>
      </c>
      <c r="C85" s="33">
        <v>-58972.803321438034</v>
      </c>
      <c r="D85" s="33">
        <v>-60298.563034699735</v>
      </c>
      <c r="E85" s="33">
        <v>-54635.435706667224</v>
      </c>
      <c r="F85" s="33">
        <v>-55031.8205851659</v>
      </c>
      <c r="G85" s="33">
        <f t="shared" si="27"/>
        <v>-228938.62264797089</v>
      </c>
      <c r="H85" s="33">
        <v>-34479</v>
      </c>
      <c r="I85" s="31"/>
    </row>
    <row r="86" spans="1:11" s="17" customFormat="1" ht="24.75" customHeight="1" x14ac:dyDescent="0.45">
      <c r="A86" s="46"/>
      <c r="B86" s="21" t="s">
        <v>53</v>
      </c>
      <c r="C86" s="23">
        <v>75663.959807143765</v>
      </c>
      <c r="D86" s="23">
        <v>59928.906391518067</v>
      </c>
      <c r="E86" s="22">
        <v>52227.894637909681</v>
      </c>
      <c r="F86" s="22">
        <v>54714.542553016006</v>
      </c>
      <c r="G86" s="22">
        <f t="shared" si="27"/>
        <v>242535.30338958753</v>
      </c>
      <c r="H86" s="22">
        <v>145294</v>
      </c>
      <c r="I86" s="31"/>
    </row>
    <row r="87" spans="1:11" s="29" customFormat="1" ht="24.75" customHeight="1" x14ac:dyDescent="0.45">
      <c r="A87" s="35"/>
      <c r="B87" s="27" t="s">
        <v>31</v>
      </c>
      <c r="C87" s="33">
        <v>73545.75057681257</v>
      </c>
      <c r="D87" s="33">
        <v>59083.616937806066</v>
      </c>
      <c r="E87" s="33">
        <v>50061.552752581381</v>
      </c>
      <c r="F87" s="33">
        <v>52542.418190613003</v>
      </c>
      <c r="G87" s="33">
        <f t="shared" si="27"/>
        <v>235233.33845781305</v>
      </c>
      <c r="H87" s="33">
        <v>142448</v>
      </c>
      <c r="I87" s="31"/>
    </row>
    <row r="88" spans="1:11" s="17" customFormat="1" ht="24.75" customHeight="1" x14ac:dyDescent="0.45">
      <c r="A88" s="46"/>
      <c r="B88" s="18" t="s">
        <v>54</v>
      </c>
      <c r="C88" s="48">
        <f t="shared" ref="C88:F88" si="32">C89+C94</f>
        <v>-4935.2250387108752</v>
      </c>
      <c r="D88" s="48">
        <f t="shared" si="32"/>
        <v>-9410.7249489380993</v>
      </c>
      <c r="E88" s="48">
        <f t="shared" si="32"/>
        <v>-3455.8125934524596</v>
      </c>
      <c r="F88" s="48">
        <f t="shared" si="32"/>
        <v>-6839.995590446355</v>
      </c>
      <c r="G88" s="48">
        <f t="shared" si="27"/>
        <v>-24641.758171547794</v>
      </c>
      <c r="H88" s="48">
        <v>-69748</v>
      </c>
      <c r="I88" s="31"/>
      <c r="J88" s="31"/>
      <c r="K88" s="31"/>
    </row>
    <row r="89" spans="1:11" s="17" customFormat="1" ht="24.75" customHeight="1" x14ac:dyDescent="0.45">
      <c r="A89" s="46"/>
      <c r="B89" s="18" t="s">
        <v>55</v>
      </c>
      <c r="C89" s="25">
        <f t="shared" ref="C89" si="33">C90+C92</f>
        <v>-6988.1205144251298</v>
      </c>
      <c r="D89" s="25">
        <f t="shared" ref="D89" si="34">D90+D92</f>
        <v>-12652.389350061761</v>
      </c>
      <c r="E89" s="25">
        <f t="shared" ref="E89" si="35">E90+E92</f>
        <v>-8505.7593040995271</v>
      </c>
      <c r="F89" s="25">
        <f t="shared" ref="F89" si="36">F90+F92</f>
        <v>-11813.946720461046</v>
      </c>
      <c r="G89" s="34">
        <f t="shared" si="27"/>
        <v>-39960.215889047467</v>
      </c>
      <c r="H89" s="34">
        <v>-64498</v>
      </c>
      <c r="I89" s="31"/>
      <c r="J89" s="31"/>
      <c r="K89" s="31"/>
    </row>
    <row r="90" spans="1:11" s="17" customFormat="1" ht="24.75" customHeight="1" x14ac:dyDescent="0.45">
      <c r="A90" s="46"/>
      <c r="B90" s="21" t="s">
        <v>56</v>
      </c>
      <c r="C90" s="22">
        <v>-3882.3102899334563</v>
      </c>
      <c r="D90" s="22">
        <v>-9844.0936397500664</v>
      </c>
      <c r="E90" s="22">
        <v>-6253.6480942333083</v>
      </c>
      <c r="F90" s="22">
        <v>-9229.2188906929368</v>
      </c>
      <c r="G90" s="22">
        <f t="shared" si="27"/>
        <v>-29209.270914609766</v>
      </c>
      <c r="H90" s="22">
        <v>-59099</v>
      </c>
      <c r="I90" s="31"/>
      <c r="J90" s="31"/>
      <c r="K90" s="31"/>
    </row>
    <row r="91" spans="1:11" s="29" customFormat="1" ht="24.75" customHeight="1" x14ac:dyDescent="0.45">
      <c r="A91" s="35"/>
      <c r="B91" s="27" t="s">
        <v>31</v>
      </c>
      <c r="C91" s="33">
        <v>-6988.0730051062665</v>
      </c>
      <c r="D91" s="33">
        <v>-6991.0936397500664</v>
      </c>
      <c r="E91" s="33">
        <v>-5254.9261563545087</v>
      </c>
      <c r="F91" s="33">
        <v>-6731.03160279227</v>
      </c>
      <c r="G91" s="33">
        <f t="shared" si="27"/>
        <v>-25965.124404003112</v>
      </c>
      <c r="H91" s="33">
        <v>-57009</v>
      </c>
      <c r="I91" s="31"/>
      <c r="J91" s="31"/>
      <c r="K91" s="31"/>
    </row>
    <row r="92" spans="1:11" s="17" customFormat="1" ht="24.75" customHeight="1" x14ac:dyDescent="0.45">
      <c r="A92" s="46"/>
      <c r="B92" s="21" t="s">
        <v>57</v>
      </c>
      <c r="C92" s="22">
        <v>-3105.8102244916736</v>
      </c>
      <c r="D92" s="22">
        <v>-2808.2957103116951</v>
      </c>
      <c r="E92" s="22">
        <v>-2252.1112098662184</v>
      </c>
      <c r="F92" s="22">
        <v>-2584.72782976811</v>
      </c>
      <c r="G92" s="22">
        <f t="shared" si="27"/>
        <v>-10750.944974437696</v>
      </c>
      <c r="H92" s="22">
        <v>-5399</v>
      </c>
      <c r="I92" s="31"/>
      <c r="J92" s="31"/>
      <c r="K92" s="31"/>
    </row>
    <row r="93" spans="1:11" s="29" customFormat="1" ht="24.75" customHeight="1" x14ac:dyDescent="0.45">
      <c r="A93" s="35"/>
      <c r="B93" s="27" t="s">
        <v>31</v>
      </c>
      <c r="C93" s="33">
        <v>-3105.8102244916736</v>
      </c>
      <c r="D93" s="33">
        <v>-2808.2957103116951</v>
      </c>
      <c r="E93" s="33">
        <v>-2252.1112098662184</v>
      </c>
      <c r="F93" s="33">
        <v>-2584.72782976811</v>
      </c>
      <c r="G93" s="33">
        <f t="shared" si="27"/>
        <v>-10750.944974437696</v>
      </c>
      <c r="H93" s="33">
        <v>-4979</v>
      </c>
      <c r="I93" s="31"/>
      <c r="J93" s="31"/>
      <c r="K93" s="31"/>
    </row>
    <row r="94" spans="1:11" s="17" customFormat="1" ht="24.75" customHeight="1" x14ac:dyDescent="0.45">
      <c r="A94" s="46"/>
      <c r="B94" s="18" t="s">
        <v>58</v>
      </c>
      <c r="C94" s="48">
        <f t="shared" ref="C94:F94" si="37">C95+C97</f>
        <v>2052.8954757142546</v>
      </c>
      <c r="D94" s="48">
        <f t="shared" si="37"/>
        <v>3241.6644011236631</v>
      </c>
      <c r="E94" s="48">
        <f t="shared" si="37"/>
        <v>5049.9467106470674</v>
      </c>
      <c r="F94" s="48">
        <f t="shared" si="37"/>
        <v>4973.9511300146914</v>
      </c>
      <c r="G94" s="48">
        <f t="shared" si="27"/>
        <v>15318.457717499678</v>
      </c>
      <c r="H94" s="48">
        <v>-5250</v>
      </c>
      <c r="I94" s="31"/>
      <c r="J94" s="31"/>
      <c r="K94" s="31"/>
    </row>
    <row r="95" spans="1:11" s="50" customFormat="1" ht="24.75" customHeight="1" x14ac:dyDescent="0.45">
      <c r="A95" s="46"/>
      <c r="B95" s="21" t="s">
        <v>56</v>
      </c>
      <c r="C95" s="22">
        <v>2658.0950601994036</v>
      </c>
      <c r="D95" s="22">
        <v>191.32661601440486</v>
      </c>
      <c r="E95" s="22">
        <v>3395.2425001396537</v>
      </c>
      <c r="F95" s="22">
        <v>3754.006868914691</v>
      </c>
      <c r="G95" s="22">
        <f t="shared" si="27"/>
        <v>9998.6710452681546</v>
      </c>
      <c r="H95" s="22">
        <v>-6202</v>
      </c>
      <c r="I95" s="31"/>
      <c r="J95" s="31"/>
      <c r="K95" s="31"/>
    </row>
    <row r="96" spans="1:11" s="29" customFormat="1" ht="24.75" customHeight="1" x14ac:dyDescent="0.45">
      <c r="A96" s="35"/>
      <c r="B96" s="27" t="s">
        <v>31</v>
      </c>
      <c r="C96" s="33">
        <v>4026.4710866994037</v>
      </c>
      <c r="D96" s="33">
        <v>2400.3266160144049</v>
      </c>
      <c r="E96" s="33">
        <v>4195.3013853096536</v>
      </c>
      <c r="F96" s="33">
        <v>4508.7890636146903</v>
      </c>
      <c r="G96" s="33">
        <f t="shared" si="27"/>
        <v>15130.888151638152</v>
      </c>
      <c r="H96" s="33">
        <v>-6220</v>
      </c>
      <c r="I96" s="17"/>
      <c r="J96" s="31"/>
      <c r="K96" s="31"/>
    </row>
    <row r="97" spans="1:11" s="50" customFormat="1" ht="24.75" customHeight="1" x14ac:dyDescent="0.45">
      <c r="A97" s="46"/>
      <c r="B97" s="21" t="s">
        <v>57</v>
      </c>
      <c r="C97" s="22">
        <v>-605.19958448514899</v>
      </c>
      <c r="D97" s="22">
        <v>3050.3377851092582</v>
      </c>
      <c r="E97" s="22">
        <v>1654.7042105074133</v>
      </c>
      <c r="F97" s="22">
        <v>1219.9442610999999</v>
      </c>
      <c r="G97" s="22">
        <f t="shared" si="27"/>
        <v>5319.786672231523</v>
      </c>
      <c r="H97" s="22">
        <v>952</v>
      </c>
      <c r="I97" s="17"/>
      <c r="J97" s="31"/>
      <c r="K97" s="31"/>
    </row>
    <row r="98" spans="1:11" s="29" customFormat="1" ht="24.75" customHeight="1" x14ac:dyDescent="0.45">
      <c r="A98" s="35"/>
      <c r="B98" s="27" t="s">
        <v>31</v>
      </c>
      <c r="C98" s="33">
        <v>1006.6177716748509</v>
      </c>
      <c r="D98" s="33">
        <v>2543.3377851092582</v>
      </c>
      <c r="E98" s="33">
        <v>1048.8253463274134</v>
      </c>
      <c r="F98" s="33">
        <v>1085</v>
      </c>
      <c r="G98" s="33">
        <f t="shared" si="27"/>
        <v>5683.7809031115221</v>
      </c>
      <c r="H98" s="33">
        <v>907</v>
      </c>
      <c r="I98" s="17"/>
      <c r="J98" s="31"/>
      <c r="K98" s="31"/>
    </row>
    <row r="99" spans="1:11" s="17" customFormat="1" ht="24.75" customHeight="1" x14ac:dyDescent="0.45">
      <c r="A99" s="46"/>
      <c r="B99" s="18" t="s">
        <v>60</v>
      </c>
      <c r="C99" s="48">
        <f t="shared" ref="C99:F99" si="38">C100+C107</f>
        <v>-3610.7164854300354</v>
      </c>
      <c r="D99" s="48">
        <f t="shared" si="38"/>
        <v>19775.679710759723</v>
      </c>
      <c r="E99" s="48">
        <f t="shared" si="38"/>
        <v>16640.952655438683</v>
      </c>
      <c r="F99" s="48">
        <f t="shared" si="38"/>
        <v>18094.432503685995</v>
      </c>
      <c r="G99" s="48">
        <f t="shared" si="27"/>
        <v>50900.348384454366</v>
      </c>
      <c r="H99" s="48">
        <v>-30323</v>
      </c>
    </row>
    <row r="100" spans="1:11" s="17" customFormat="1" ht="24.75" customHeight="1" x14ac:dyDescent="0.45">
      <c r="A100" s="46"/>
      <c r="B100" s="18" t="s">
        <v>59</v>
      </c>
      <c r="C100" s="48">
        <f t="shared" ref="C100:F100" si="39">C101+C102+C103+C104+C106</f>
        <v>122028.94061253998</v>
      </c>
      <c r="D100" s="48">
        <f t="shared" si="39"/>
        <v>191429.58057395084</v>
      </c>
      <c r="E100" s="48">
        <f t="shared" si="39"/>
        <v>-306146.06276947423</v>
      </c>
      <c r="F100" s="48">
        <f t="shared" si="39"/>
        <v>-264490.85764159466</v>
      </c>
      <c r="G100" s="48">
        <f t="shared" si="27"/>
        <v>-257178.39922457805</v>
      </c>
      <c r="H100" s="48">
        <v>-64927</v>
      </c>
    </row>
    <row r="101" spans="1:11" s="17" customFormat="1" ht="24.75" customHeight="1" x14ac:dyDescent="0.45">
      <c r="A101" s="46"/>
      <c r="B101" s="21" t="s">
        <v>61</v>
      </c>
      <c r="C101" s="22">
        <v>0</v>
      </c>
      <c r="D101" s="22">
        <v>0</v>
      </c>
      <c r="E101" s="22">
        <v>0</v>
      </c>
      <c r="F101" s="22">
        <v>0</v>
      </c>
      <c r="G101" s="22">
        <f t="shared" si="27"/>
        <v>0</v>
      </c>
      <c r="H101" s="22">
        <v>0</v>
      </c>
    </row>
    <row r="102" spans="1:11" s="17" customFormat="1" ht="24.75" customHeight="1" x14ac:dyDescent="0.45">
      <c r="A102" s="46"/>
      <c r="B102" s="21" t="s">
        <v>62</v>
      </c>
      <c r="C102" s="22">
        <v>0</v>
      </c>
      <c r="D102" s="22">
        <v>0</v>
      </c>
      <c r="E102" s="22">
        <v>0</v>
      </c>
      <c r="F102" s="22">
        <v>0</v>
      </c>
      <c r="G102" s="22">
        <f t="shared" si="27"/>
        <v>0</v>
      </c>
      <c r="H102" s="22">
        <v>0</v>
      </c>
      <c r="I102" s="29"/>
    </row>
    <row r="103" spans="1:11" s="17" customFormat="1" ht="24.75" customHeight="1" x14ac:dyDescent="0.45">
      <c r="A103" s="46"/>
      <c r="B103" s="21" t="s">
        <v>63</v>
      </c>
      <c r="C103" s="22">
        <v>-33482.393030981781</v>
      </c>
      <c r="D103" s="22">
        <v>95324</v>
      </c>
      <c r="E103" s="22">
        <v>22008.313893382499</v>
      </c>
      <c r="F103" s="22">
        <v>-8055.2558174326723</v>
      </c>
      <c r="G103" s="22">
        <f t="shared" si="27"/>
        <v>75794.665044968046</v>
      </c>
      <c r="H103" s="22">
        <v>29145</v>
      </c>
    </row>
    <row r="104" spans="1:11" s="17" customFormat="1" ht="24.75" customHeight="1" x14ac:dyDescent="0.45">
      <c r="A104" s="46"/>
      <c r="B104" s="21" t="s">
        <v>64</v>
      </c>
      <c r="C104" s="22">
        <v>155948.33364352176</v>
      </c>
      <c r="D104" s="22">
        <v>95945.580573950836</v>
      </c>
      <c r="E104" s="22">
        <v>-328245.97066285671</v>
      </c>
      <c r="F104" s="22">
        <v>-255754.27482416201</v>
      </c>
      <c r="G104" s="22">
        <f t="shared" si="27"/>
        <v>-332106.33126954612</v>
      </c>
      <c r="H104" s="22">
        <v>-94095</v>
      </c>
    </row>
    <row r="105" spans="1:11" s="29" customFormat="1" ht="24.75" customHeight="1" x14ac:dyDescent="0.45">
      <c r="A105" s="35"/>
      <c r="B105" s="27" t="s">
        <v>31</v>
      </c>
      <c r="C105" s="33">
        <v>155948.33364352176</v>
      </c>
      <c r="D105" s="33">
        <v>95945.580573950836</v>
      </c>
      <c r="E105" s="33">
        <v>-328245.97066285671</v>
      </c>
      <c r="F105" s="33">
        <v>-255754.27482416201</v>
      </c>
      <c r="G105" s="33">
        <f t="shared" si="27"/>
        <v>-332106.33126954612</v>
      </c>
      <c r="H105" s="33">
        <v>-94095</v>
      </c>
      <c r="I105" s="17"/>
    </row>
    <row r="106" spans="1:11" s="17" customFormat="1" ht="24.75" customHeight="1" x14ac:dyDescent="0.45">
      <c r="A106" s="46"/>
      <c r="B106" s="21" t="s">
        <v>65</v>
      </c>
      <c r="C106" s="22">
        <v>-437</v>
      </c>
      <c r="D106" s="22">
        <v>160</v>
      </c>
      <c r="E106" s="22">
        <v>91.593999999999994</v>
      </c>
      <c r="F106" s="22">
        <v>-681.327</v>
      </c>
      <c r="G106" s="22">
        <f t="shared" si="27"/>
        <v>-866.73299999999995</v>
      </c>
      <c r="H106" s="22">
        <v>23</v>
      </c>
    </row>
    <row r="107" spans="1:11" s="17" customFormat="1" ht="24.75" customHeight="1" x14ac:dyDescent="0.45">
      <c r="A107" s="46"/>
      <c r="B107" s="18" t="s">
        <v>58</v>
      </c>
      <c r="C107" s="34">
        <f t="shared" ref="C107:F107" si="40">C108+C109+C110+C111+C113</f>
        <v>-125639.65709797002</v>
      </c>
      <c r="D107" s="34">
        <f t="shared" si="40"/>
        <v>-171653.90086319111</v>
      </c>
      <c r="E107" s="34">
        <f t="shared" si="40"/>
        <v>322787.01542491291</v>
      </c>
      <c r="F107" s="34">
        <f t="shared" si="40"/>
        <v>282585.29014528065</v>
      </c>
      <c r="G107" s="34">
        <f t="shared" si="27"/>
        <v>308078.74760903243</v>
      </c>
      <c r="H107" s="34">
        <v>34604</v>
      </c>
    </row>
    <row r="108" spans="1:11" s="17" customFormat="1" ht="24.75" customHeight="1" x14ac:dyDescent="0.45">
      <c r="A108" s="46"/>
      <c r="B108" s="21" t="s">
        <v>61</v>
      </c>
      <c r="C108" s="22">
        <v>-14</v>
      </c>
      <c r="D108" s="22">
        <v>-232</v>
      </c>
      <c r="E108" s="22">
        <v>-623</v>
      </c>
      <c r="F108" s="22">
        <v>145</v>
      </c>
      <c r="G108" s="22">
        <f t="shared" si="27"/>
        <v>-724</v>
      </c>
      <c r="H108" s="22">
        <v>-645</v>
      </c>
      <c r="I108" s="31"/>
    </row>
    <row r="109" spans="1:11" s="17" customFormat="1" ht="24.75" customHeight="1" x14ac:dyDescent="0.45">
      <c r="A109" s="46"/>
      <c r="B109" s="21" t="s">
        <v>62</v>
      </c>
      <c r="C109" s="22">
        <v>24</v>
      </c>
      <c r="D109" s="22">
        <v>10.818698372181998</v>
      </c>
      <c r="E109" s="22">
        <v>51.729723042793978</v>
      </c>
      <c r="F109" s="22">
        <v>177.20313633649099</v>
      </c>
      <c r="G109" s="22">
        <f t="shared" si="27"/>
        <v>263.75155775146698</v>
      </c>
      <c r="H109" s="22">
        <v>-63</v>
      </c>
      <c r="I109" s="29"/>
    </row>
    <row r="110" spans="1:11" s="17" customFormat="1" ht="24.75" customHeight="1" x14ac:dyDescent="0.45">
      <c r="A110" s="46"/>
      <c r="B110" s="21" t="s">
        <v>63</v>
      </c>
      <c r="C110" s="22">
        <v>-12496.621294907778</v>
      </c>
      <c r="D110" s="22">
        <v>-64193</v>
      </c>
      <c r="E110" s="22">
        <v>28.104190998016357</v>
      </c>
      <c r="F110" s="22">
        <v>-8972.4402343486145</v>
      </c>
      <c r="G110" s="22">
        <f t="shared" si="27"/>
        <v>-85633.957338258377</v>
      </c>
      <c r="H110" s="22">
        <v>-3547</v>
      </c>
    </row>
    <row r="111" spans="1:11" s="17" customFormat="1" ht="24.75" customHeight="1" x14ac:dyDescent="0.45">
      <c r="A111" s="46"/>
      <c r="B111" s="21" t="s">
        <v>64</v>
      </c>
      <c r="C111" s="22">
        <v>-115546.28679559403</v>
      </c>
      <c r="D111" s="22">
        <v>-109985.71956156331</v>
      </c>
      <c r="E111" s="22">
        <v>320606.13030092709</v>
      </c>
      <c r="F111" s="22">
        <v>288768.10658945778</v>
      </c>
      <c r="G111" s="22">
        <f t="shared" si="27"/>
        <v>383842.23053322756</v>
      </c>
      <c r="H111" s="22">
        <v>36571</v>
      </c>
    </row>
    <row r="112" spans="1:11" s="29" customFormat="1" ht="24.75" customHeight="1" x14ac:dyDescent="0.45">
      <c r="A112" s="35"/>
      <c r="B112" s="27" t="s">
        <v>31</v>
      </c>
      <c r="C112" s="33">
        <v>-114288</v>
      </c>
      <c r="D112" s="33">
        <v>-109860.71956156331</v>
      </c>
      <c r="E112" s="33">
        <v>321176.52798360522</v>
      </c>
      <c r="F112" s="33">
        <v>289835.22679129499</v>
      </c>
      <c r="G112" s="33">
        <f t="shared" si="27"/>
        <v>386863.03521333693</v>
      </c>
      <c r="H112" s="33">
        <v>36868</v>
      </c>
      <c r="I112" s="17"/>
    </row>
    <row r="113" spans="1:9" s="17" customFormat="1" ht="24.75" customHeight="1" x14ac:dyDescent="0.45">
      <c r="A113" s="46"/>
      <c r="B113" s="21" t="s">
        <v>65</v>
      </c>
      <c r="C113" s="22">
        <v>2393.2509925317877</v>
      </c>
      <c r="D113" s="22">
        <v>2746</v>
      </c>
      <c r="E113" s="22">
        <v>2724.0512099450088</v>
      </c>
      <c r="F113" s="22">
        <v>2467.4206538350136</v>
      </c>
      <c r="G113" s="22">
        <f t="shared" si="27"/>
        <v>10330.722856311811</v>
      </c>
      <c r="H113" s="22">
        <v>2288</v>
      </c>
    </row>
    <row r="114" spans="1:9" s="17" customFormat="1" ht="24.75" customHeight="1" x14ac:dyDescent="0.45">
      <c r="A114" s="46"/>
      <c r="B114" s="18" t="s">
        <v>66</v>
      </c>
      <c r="C114" s="48">
        <f t="shared" ref="C114:F114" si="41">SUM(C115:C119)</f>
        <v>-4454.7137271972824</v>
      </c>
      <c r="D114" s="48">
        <f t="shared" si="41"/>
        <v>-2640.277</v>
      </c>
      <c r="E114" s="48">
        <f t="shared" si="41"/>
        <v>-5905.0646848721362</v>
      </c>
      <c r="F114" s="48">
        <f t="shared" si="41"/>
        <v>-6960.2250964629984</v>
      </c>
      <c r="G114" s="48">
        <f t="shared" si="27"/>
        <v>-19960.280508532414</v>
      </c>
      <c r="H114" s="48">
        <v>-5776</v>
      </c>
    </row>
    <row r="115" spans="1:9" s="17" customFormat="1" ht="24.75" customHeight="1" x14ac:dyDescent="0.45">
      <c r="A115" s="46"/>
      <c r="B115" s="21" t="s">
        <v>67</v>
      </c>
      <c r="C115" s="22">
        <v>-1342.0993030500001</v>
      </c>
      <c r="D115" s="22">
        <v>6</v>
      </c>
      <c r="E115" s="22">
        <v>-245.0617997452016</v>
      </c>
      <c r="F115" s="22">
        <v>-107.89261783760035</v>
      </c>
      <c r="G115" s="22">
        <f t="shared" si="27"/>
        <v>-1689.053720632802</v>
      </c>
      <c r="H115" s="22">
        <v>-1406</v>
      </c>
    </row>
    <row r="116" spans="1:9" s="17" customFormat="1" ht="24.75" customHeight="1" x14ac:dyDescent="0.45">
      <c r="A116" s="46"/>
      <c r="B116" s="21" t="s">
        <v>68</v>
      </c>
      <c r="C116" s="22">
        <v>-0.19373935000038148</v>
      </c>
      <c r="D116" s="22">
        <v>-0.10199999999999999</v>
      </c>
      <c r="E116" s="22">
        <v>-14.863573420420662</v>
      </c>
      <c r="F116" s="22">
        <v>-32.746303390971967</v>
      </c>
      <c r="G116" s="22">
        <f t="shared" si="27"/>
        <v>-47.905616161393013</v>
      </c>
      <c r="H116" s="22">
        <v>565</v>
      </c>
    </row>
    <row r="117" spans="1:9" s="17" customFormat="1" ht="24.75" customHeight="1" x14ac:dyDescent="0.45">
      <c r="A117" s="46"/>
      <c r="B117" s="21" t="s">
        <v>69</v>
      </c>
      <c r="C117" s="47">
        <v>313.98731483273144</v>
      </c>
      <c r="D117" s="47">
        <v>-4.1749999999999998</v>
      </c>
      <c r="E117" s="22">
        <v>-0.77874805637598643</v>
      </c>
      <c r="F117" s="22">
        <v>0</v>
      </c>
      <c r="G117" s="22">
        <f t="shared" si="27"/>
        <v>309.03356677635543</v>
      </c>
      <c r="H117" s="22">
        <v>-510</v>
      </c>
    </row>
    <row r="118" spans="1:9" s="17" customFormat="1" ht="24.75" customHeight="1" x14ac:dyDescent="0.45">
      <c r="A118" s="46"/>
      <c r="B118" s="21" t="s">
        <v>70</v>
      </c>
      <c r="C118" s="47">
        <v>-3426.4079996300134</v>
      </c>
      <c r="D118" s="47">
        <v>-2642</v>
      </c>
      <c r="E118" s="22">
        <v>-5644.3605636501379</v>
      </c>
      <c r="F118" s="22">
        <v>-6819.5861752344263</v>
      </c>
      <c r="G118" s="22">
        <f t="shared" si="27"/>
        <v>-18532.354738514579</v>
      </c>
      <c r="H118" s="22">
        <v>-4425</v>
      </c>
    </row>
    <row r="119" spans="1:9" s="17" customFormat="1" ht="24.75" customHeight="1" x14ac:dyDescent="0.5">
      <c r="A119" s="46"/>
      <c r="B119" s="21" t="s">
        <v>71</v>
      </c>
      <c r="C119" s="47">
        <v>0</v>
      </c>
      <c r="D119" s="47">
        <v>0</v>
      </c>
      <c r="E119" s="22">
        <v>0</v>
      </c>
      <c r="F119" s="22">
        <v>0</v>
      </c>
      <c r="G119" s="22">
        <f t="shared" si="27"/>
        <v>0</v>
      </c>
      <c r="H119" s="22">
        <v>0</v>
      </c>
      <c r="I119" s="8"/>
    </row>
    <row r="120" spans="1:9" s="17" customFormat="1" ht="24.75" customHeight="1" x14ac:dyDescent="0.45">
      <c r="A120" s="46" t="s">
        <v>72</v>
      </c>
      <c r="B120" s="18" t="s">
        <v>73</v>
      </c>
      <c r="C120" s="48">
        <f>-(C6+C79)</f>
        <v>2746.2819385024613</v>
      </c>
      <c r="D120" s="48">
        <f t="shared" ref="D120:F120" si="42">-(D6+D79)</f>
        <v>-1484.9743873997231</v>
      </c>
      <c r="E120" s="48">
        <f t="shared" si="42"/>
        <v>1735.9548636834579</v>
      </c>
      <c r="F120" s="48">
        <f t="shared" si="42"/>
        <v>-1163.8954896679475</v>
      </c>
      <c r="G120" s="48">
        <f>C120+D120+E120+F120</f>
        <v>1833.3669251182487</v>
      </c>
      <c r="H120" s="48">
        <v>-2530</v>
      </c>
      <c r="I120" s="2"/>
    </row>
    <row r="121" spans="1:9" s="17" customFormat="1" ht="7.5" customHeight="1" thickBot="1" x14ac:dyDescent="0.5">
      <c r="A121" s="51"/>
      <c r="B121" s="52"/>
      <c r="C121" s="53"/>
      <c r="D121" s="53"/>
      <c r="E121" s="53"/>
      <c r="F121" s="54"/>
      <c r="G121" s="55"/>
      <c r="H121" s="55"/>
    </row>
    <row r="122" spans="1:9" s="8" customFormat="1" ht="37.5" customHeight="1" x14ac:dyDescent="0.5">
      <c r="A122" s="56" t="s">
        <v>76</v>
      </c>
      <c r="B122" s="56"/>
      <c r="C122" s="56"/>
      <c r="D122" s="56"/>
      <c r="E122" s="56"/>
      <c r="F122" s="56"/>
      <c r="G122" s="56"/>
      <c r="H122" s="56"/>
    </row>
    <row r="123" spans="1:9" ht="27" x14ac:dyDescent="0.5">
      <c r="A123" s="56" t="s">
        <v>74</v>
      </c>
      <c r="C123" s="57"/>
      <c r="D123" s="57"/>
      <c r="E123" s="57"/>
      <c r="F123" s="57"/>
      <c r="G123" s="58"/>
      <c r="H123" s="58"/>
    </row>
    <row r="124" spans="1:9" ht="27" x14ac:dyDescent="0.5">
      <c r="A124" s="56" t="s">
        <v>75</v>
      </c>
      <c r="C124" s="57"/>
      <c r="D124" s="57"/>
      <c r="E124" s="57"/>
      <c r="F124" s="57"/>
      <c r="G124" s="57"/>
      <c r="H124" s="57"/>
    </row>
    <row r="125" spans="1:9" ht="26.25" x14ac:dyDescent="0.45">
      <c r="C125" s="57"/>
      <c r="D125" s="57"/>
      <c r="E125" s="57"/>
      <c r="F125" s="57"/>
      <c r="G125" s="57"/>
      <c r="H125" s="57"/>
    </row>
    <row r="126" spans="1:9" ht="26.25" x14ac:dyDescent="0.45">
      <c r="C126" s="57"/>
      <c r="D126" s="57"/>
      <c r="E126" s="57"/>
      <c r="F126" s="57"/>
      <c r="G126" s="57"/>
      <c r="H126" s="57"/>
    </row>
    <row r="127" spans="1:9" ht="26.25" x14ac:dyDescent="0.45">
      <c r="C127" s="57"/>
      <c r="D127" s="57"/>
      <c r="E127" s="57"/>
      <c r="F127" s="57"/>
      <c r="G127" s="57"/>
      <c r="H127" s="57"/>
    </row>
    <row r="128" spans="1:9" ht="25.5" customHeight="1" x14ac:dyDescent="0.45"/>
  </sheetData>
  <mergeCells count="5">
    <mergeCell ref="G3:G4"/>
    <mergeCell ref="C3:F3"/>
    <mergeCell ref="G56:G57"/>
    <mergeCell ref="C56:F56"/>
    <mergeCell ref="A1:F1"/>
  </mergeCells>
  <printOptions horizontalCentered="1"/>
  <pageMargins left="0" right="0" top="0.5" bottom="0" header="0" footer="0"/>
  <pageSetup paperSize="9" scale="45" fitToWidth="2" fitToHeight="2" orientation="portrait" r:id="rId1"/>
  <headerFooter scaleWithDoc="0" alignWithMargins="0"/>
  <rowBreaks count="1" manualBreakCount="1">
    <brk id="5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51</vt:lpstr>
      <vt:lpstr>'51'!Print_Area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Falzana Atchia</dc:creator>
  <cp:lastModifiedBy>Falzana Atchia</cp:lastModifiedBy>
  <cp:lastPrinted>2016-06-16T09:50:39Z</cp:lastPrinted>
  <dcterms:created xsi:type="dcterms:W3CDTF">2015-04-10T07:30:23Z</dcterms:created>
  <dcterms:modified xsi:type="dcterms:W3CDTF">2016-06-16T09:50:46Z</dcterms:modified>
</cp:coreProperties>
</file>